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Jahresplaner" sheetId="2" state="visible" r:id="rId2"/>
    <sheet xmlns:r="http://schemas.openxmlformats.org/officeDocument/2006/relationships" name="Jan" sheetId="3" state="visible" r:id="rId3"/>
    <sheet xmlns:r="http://schemas.openxmlformats.org/officeDocument/2006/relationships" name="Feb" sheetId="4" state="visible" r:id="rId4"/>
    <sheet xmlns:r="http://schemas.openxmlformats.org/officeDocument/2006/relationships" name="Mär" sheetId="5" state="visible" r:id="rId5"/>
    <sheet xmlns:r="http://schemas.openxmlformats.org/officeDocument/2006/relationships" name="Apr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" sheetId="8" state="visible" r:id="rId8"/>
    <sheet xmlns:r="http://schemas.openxmlformats.org/officeDocument/2006/relationships" name="Jul" sheetId="9" state="visible" r:id="rId9"/>
    <sheet xmlns:r="http://schemas.openxmlformats.org/officeDocument/2006/relationships" name="Aug" sheetId="10" state="visible" r:id="rId10"/>
    <sheet xmlns:r="http://schemas.openxmlformats.org/officeDocument/2006/relationships" name="Sep" sheetId="11" state="visible" r:id="rId11"/>
    <sheet xmlns:r="http://schemas.openxmlformats.org/officeDocument/2006/relationships" name="Okt" sheetId="12" state="visible" r:id="rId12"/>
    <sheet xmlns:r="http://schemas.openxmlformats.org/officeDocument/2006/relationships" name="Nov" sheetId="13" state="visible" r:id="rId13"/>
    <sheet xmlns:r="http://schemas.openxmlformats.org/officeDocument/2006/relationships" name="Dez" sheetId="14" state="visible" r:id="rId14"/>
    <sheet xmlns:r="http://schemas.openxmlformats.org/officeDocument/2006/relationships" name="Feiertage" sheetId="15" state="visible" r:id="rId15"/>
    <sheet xmlns:r="http://schemas.openxmlformats.org/officeDocument/2006/relationships" name="Schulferien" sheetId="16" state="visible" r:id="rId16"/>
  </sheets>
  <definedNames>
    <definedName name="Jahr">Start!$C$4</definedName>
    <definedName name="Land">Start!$C$5</definedName>
    <definedName name="LandCode">Start!$C$6</definedName>
    <definedName name="Ostern">Feiertage!$X$3</definedName>
    <definedName name="FtGilt">Feiertage!$T$5:$T$23</definedName>
    <definedName name="FtName">Feiertage!$A$5:$A$23</definedName>
    <definedName name="FerVon">Schulferien!$D$5:$D$95</definedName>
    <definedName name="FerBis">Schulferien!$E$5:$E$95</definedName>
    <definedName name="FerAktiv">Schulferien!$F$5:$F$95</definedName>
    <definedName name="_xlnm.Print_Area" localSheetId="0">'Start'!$A$1:$H$16</definedName>
    <definedName name="_xlnm.Print_Area" localSheetId="1">'Jahresplaner'!$A$1:$X$35</definedName>
    <definedName name="_xlnm.Print_Area" localSheetId="2">'Jan'!$A$1:$H$27</definedName>
    <definedName name="_xlnm.Print_Area" localSheetId="3">'Feb'!$A$1:$H$27</definedName>
    <definedName name="_xlnm.Print_Area" localSheetId="4">'Mär'!$A$1:$H$27</definedName>
    <definedName name="_xlnm.Print_Area" localSheetId="5">'Apr'!$A$1:$H$27</definedName>
    <definedName name="_xlnm.Print_Area" localSheetId="6">'Mai'!$A$1:$H$27</definedName>
    <definedName name="_xlnm.Print_Area" localSheetId="7">'Jun'!$A$1:$H$27</definedName>
    <definedName name="_xlnm.Print_Area" localSheetId="8">'Jul'!$A$1:$H$27</definedName>
    <definedName name="_xlnm.Print_Area" localSheetId="9">'Aug'!$A$1:$H$27</definedName>
    <definedName name="_xlnm.Print_Area" localSheetId="10">'Sep'!$A$1:$H$27</definedName>
    <definedName name="_xlnm.Print_Area" localSheetId="11">'Okt'!$A$1:$H$27</definedName>
    <definedName name="_xlnm.Print_Area" localSheetId="12">'Nov'!$A$1:$H$27</definedName>
    <definedName name="_xlnm.Print_Area" localSheetId="13">'Dez'!$A$1:$H$27</definedName>
    <definedName name="_xlnm.Print_Area" localSheetId="14">'Feiertage'!$A$1:$T$25</definedName>
    <definedName name="_xlnm.Print_Area" localSheetId="15">'Schulferien'!$A$1:$F$95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7]d ddd"/>
    <numFmt numFmtId="165" formatCode="d"/>
    <numFmt numFmtId="166" formatCode="DD.MM.YYYY"/>
    <numFmt numFmtId="167" formatCode="[$-407]DD.MM.YYYY ddd"/>
    <numFmt numFmtId="168" formatCode="DD.MM."/>
    <numFmt numFmtId="169" formatCode="yyyy-mm-dd"/>
  </numFmts>
  <fonts count="33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2F6FB0"/>
      <sz val="22"/>
    </font>
    <font>
      <name val="Arial"/>
      <i val="1"/>
      <color rgb="007A8292"/>
      <sz val="9"/>
    </font>
    <font>
      <name val="Arial"/>
      <b val="1"/>
      <color rgb="007A8292"/>
      <sz val="11"/>
    </font>
    <font>
      <name val="Arial"/>
      <b val="1"/>
      <color rgb="001F2430"/>
      <sz val="12"/>
    </font>
    <font>
      <name val="Arial"/>
      <b val="1"/>
      <color rgb="001F2430"/>
      <sz val="11"/>
    </font>
    <font>
      <name val="Arial"/>
      <b val="1"/>
      <color rgb="007A8292"/>
      <sz val="8"/>
    </font>
    <font>
      <name val="Arial"/>
      <color rgb="007A8292"/>
      <sz val="8"/>
    </font>
    <font>
      <name val="Arial"/>
      <color rgb="007A8292"/>
      <sz val="9"/>
    </font>
    <font>
      <name val="Arial"/>
      <b val="1"/>
      <color rgb="002F6FB0"/>
      <sz val="10"/>
    </font>
    <font>
      <name val="Arial"/>
      <color rgb="001F2430"/>
      <sz val="10"/>
    </font>
    <font>
      <name val="Arial"/>
      <b val="1"/>
      <color rgb="002F6FB0"/>
      <sz val="20"/>
    </font>
    <font>
      <name val="Arial"/>
      <b val="1"/>
      <color rgb="001F2430"/>
      <sz val="8"/>
    </font>
    <font>
      <name val="Arial"/>
      <b val="1"/>
      <color rgb="00FFFFFF"/>
      <sz val="10"/>
    </font>
    <font>
      <name val="Arial"/>
      <color rgb="001F2430"/>
      <sz val="8"/>
    </font>
    <font>
      <name val="Arial"/>
      <b val="1"/>
      <color rgb="005B8FC9"/>
      <sz val="24"/>
    </font>
    <font>
      <name val="Arial"/>
      <b val="1"/>
      <color rgb="00FFFFFF"/>
      <sz val="9"/>
    </font>
    <font>
      <name val="Arial"/>
      <color rgb="008A95A5"/>
      <sz val="9"/>
    </font>
    <font>
      <name val="Arial"/>
      <color rgb="00C0392B"/>
      <sz val="7"/>
    </font>
    <font>
      <name val="Arial"/>
      <color rgb="001F2430"/>
      <sz val="9"/>
    </font>
    <font>
      <name val="Arial"/>
      <b val="1"/>
      <color rgb="005B8FC9"/>
      <sz val="11"/>
    </font>
    <font>
      <name val="Arial"/>
      <b val="1"/>
      <color rgb="004FA36F"/>
      <sz val="24"/>
    </font>
    <font>
      <name val="Arial"/>
      <b val="1"/>
      <color rgb="004FA36F"/>
      <sz val="11"/>
    </font>
    <font>
      <name val="Arial"/>
      <b val="1"/>
      <color rgb="00D49A1E"/>
      <sz val="24"/>
    </font>
    <font>
      <name val="Arial"/>
      <b val="1"/>
      <color rgb="00D49A1E"/>
      <sz val="11"/>
    </font>
    <font>
      <name val="Arial"/>
      <b val="1"/>
      <color rgb="00D0703F"/>
      <sz val="24"/>
    </font>
    <font>
      <name val="Arial"/>
      <b val="1"/>
      <color rgb="00D0703F"/>
      <sz val="11"/>
    </font>
    <font>
      <name val="Arial"/>
      <b val="1"/>
      <color rgb="007A8292"/>
      <sz val="9"/>
    </font>
    <font>
      <name val="Arial"/>
      <b val="1"/>
      <color rgb="001F2430"/>
      <sz val="9"/>
    </font>
    <font>
      <name val="Arial"/>
      <b val="1"/>
      <color rgb="001F2430"/>
      <sz val="10"/>
    </font>
    <font>
      <name val="Arial"/>
      <i val="1"/>
      <color rgb="007A8292"/>
      <sz val="8"/>
    </font>
    <font>
      <name val="Arial"/>
      <color rgb="009AA3B2"/>
      <sz val="9"/>
    </font>
  </fonts>
  <fills count="13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FBD5D1"/>
      </patternFill>
    </fill>
    <fill>
      <patternFill patternType="solid">
        <fgColor rgb="00D9F0DC"/>
      </patternFill>
    </fill>
    <fill>
      <patternFill patternType="solid">
        <fgColor rgb="00ECEFF3"/>
      </patternFill>
    </fill>
    <fill>
      <patternFill patternType="solid">
        <fgColor rgb="005B8FC9"/>
      </patternFill>
    </fill>
    <fill>
      <patternFill patternType="solid">
        <fgColor rgb="004FA36F"/>
      </patternFill>
    </fill>
    <fill>
      <patternFill patternType="solid">
        <fgColor rgb="00D49A1E"/>
      </patternFill>
    </fill>
    <fill>
      <patternFill patternType="solid">
        <fgColor rgb="00D0703F"/>
      </patternFill>
    </fill>
    <fill>
      <patternFill patternType="solid">
        <fgColor rgb="0090A4AE"/>
      </patternFill>
    </fill>
    <fill>
      <patternFill patternType="solid">
        <fgColor rgb="00E07A5F"/>
      </patternFill>
    </fill>
    <fill>
      <patternFill patternType="solid">
        <fgColor rgb="002F6FB0"/>
      </patternFill>
    </fill>
  </fills>
  <borders count="9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  <border>
      <left/>
      <right/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/>
      <diagonal/>
    </border>
    <border>
      <left/>
      <right/>
      <top style="thin">
        <color rgb="00D5DAE3"/>
      </top>
      <bottom style="thin">
        <color rgb="00D5DAE3"/>
      </bottom>
      <diagonal/>
    </border>
    <border>
      <left/>
      <right style="thin">
        <color rgb="00D5DAE3"/>
      </right>
      <top style="thin">
        <color rgb="00D5DAE3"/>
      </top>
      <bottom style="thin">
        <color rgb="00D5DAE3"/>
      </bottom>
      <diagonal/>
    </border>
    <border>
      <left style="thin">
        <color rgb="00D5DAE3"/>
      </left>
      <right/>
      <top/>
      <bottom/>
      <diagonal/>
    </border>
    <border>
      <left style="thin">
        <color rgb="00D5DAE3"/>
      </left>
      <right style="thin">
        <color rgb="00D5DAE3"/>
      </right>
      <top/>
      <bottom/>
      <diagonal/>
    </border>
    <border>
      <left style="thin">
        <color rgb="00D5DAE3"/>
      </left>
      <right style="thin">
        <color rgb="00D5DAE3"/>
      </right>
      <top/>
      <bottom style="thin">
        <color rgb="00D5DAE3"/>
      </bottom>
      <diagonal/>
    </border>
  </borders>
  <cellStyleXfs count="1">
    <xf numFmtId="0" fontId="1" fillId="0" borderId="0"/>
  </cellStyleXfs>
  <cellXfs count="5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right"/>
    </xf>
    <xf numFmtId="1" fontId="5" fillId="2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6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9" fillId="0" borderId="0" applyAlignment="1" pivotButton="0" quotePrefix="0" xfId="0">
      <alignment horizontal="right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3" borderId="0" applyAlignment="1" pivotButton="0" quotePrefix="0" xfId="0">
      <alignment horizontal="center" vertical="center" wrapText="1"/>
    </xf>
    <xf numFmtId="0" fontId="13" fillId="4" borderId="0" applyAlignment="1" pivotButton="0" quotePrefix="0" xfId="0">
      <alignment horizontal="center" vertical="center" wrapText="1"/>
    </xf>
    <xf numFmtId="0" fontId="13" fillId="5" borderId="0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0" fontId="14" fillId="8" borderId="1" applyAlignment="1" pivotButton="0" quotePrefix="0" xfId="0">
      <alignment horizontal="center" vertical="center" wrapText="1"/>
    </xf>
    <xf numFmtId="0" fontId="14" fillId="9" borderId="1" applyAlignment="1" pivotButton="0" quotePrefix="0" xfId="0">
      <alignment horizontal="center" vertical="center" wrapText="1"/>
    </xf>
    <xf numFmtId="164" fontId="13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/>
    </xf>
    <xf numFmtId="0" fontId="16" fillId="0" borderId="0" pivotButton="0" quotePrefix="0" xfId="0"/>
    <xf numFmtId="0" fontId="17" fillId="10" borderId="1" applyAlignment="1" pivotButton="0" quotePrefix="0" xfId="0">
      <alignment horizontal="center" vertical="center" wrapText="1"/>
    </xf>
    <xf numFmtId="0" fontId="14" fillId="11" borderId="1" applyAlignment="1" pivotButton="0" quotePrefix="0" xfId="0">
      <alignment horizontal="center" vertical="center" wrapText="1"/>
    </xf>
    <xf numFmtId="1" fontId="18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left" vertical="top"/>
    </xf>
    <xf numFmtId="0" fontId="0" fillId="0" borderId="7" pivotButton="0" quotePrefix="0" xfId="0"/>
    <xf numFmtId="0" fontId="19" fillId="0" borderId="1" applyAlignment="1" pivotButton="0" quotePrefix="0" xfId="0">
      <alignment horizontal="left" vertical="top" wrapText="1"/>
    </xf>
    <xf numFmtId="0" fontId="0" fillId="0" borderId="8" pivotButton="0" quotePrefix="0" xfId="0"/>
    <xf numFmtId="0" fontId="20" fillId="0" borderId="1" applyAlignment="1" pivotButton="0" quotePrefix="0" xfId="0">
      <alignment horizontal="left" vertical="top" wrapText="1"/>
    </xf>
    <xf numFmtId="0" fontId="21" fillId="0" borderId="0" pivotButton="0" quotePrefix="0" xfId="0"/>
    <xf numFmtId="0" fontId="11" fillId="0" borderId="1" applyAlignment="1" pivotButton="0" quotePrefix="0" xfId="0">
      <alignment horizontal="center" vertical="center" wrapText="1"/>
    </xf>
    <xf numFmtId="0" fontId="22" fillId="0" borderId="0" pivotButton="0" quotePrefix="0" xfId="0"/>
    <xf numFmtId="0" fontId="23" fillId="0" borderId="0" pivotButton="0" quotePrefix="0" xfId="0"/>
    <xf numFmtId="0" fontId="24" fillId="0" borderId="0" pivotButton="0" quotePrefix="0" xfId="0"/>
    <xf numFmtId="0" fontId="25" fillId="0" borderId="0" pivotButton="0" quotePrefix="0" xfId="0"/>
    <xf numFmtId="0" fontId="26" fillId="0" borderId="0" pivotButton="0" quotePrefix="0" xfId="0"/>
    <xf numFmtId="0" fontId="27" fillId="0" borderId="0" pivotButton="0" quotePrefix="0" xfId="0"/>
    <xf numFmtId="0" fontId="28" fillId="0" borderId="0" pivotButton="0" quotePrefix="0" xfId="0"/>
    <xf numFmtId="166" fontId="29" fillId="0" borderId="0" pivotButton="0" quotePrefix="0" xfId="0"/>
    <xf numFmtId="0" fontId="17" fillId="12" borderId="1" applyAlignment="1" pivotButton="0" quotePrefix="0" xfId="0">
      <alignment horizontal="center" vertical="center" wrapText="1"/>
    </xf>
    <xf numFmtId="0" fontId="30" fillId="0" borderId="1" applyAlignment="1" pivotButton="0" quotePrefix="0" xfId="0">
      <alignment horizontal="left" vertical="center"/>
    </xf>
    <xf numFmtId="167" fontId="11" fillId="0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 wrapText="1"/>
    </xf>
    <xf numFmtId="0" fontId="20" fillId="2" borderId="1" applyAlignment="1" pivotButton="0" quotePrefix="0" xfId="0">
      <alignment horizontal="center" vertical="center" wrapText="1"/>
    </xf>
    <xf numFmtId="168" fontId="30" fillId="0" borderId="1" applyAlignment="1" pivotButton="0" quotePrefix="0" xfId="0">
      <alignment horizontal="center" vertical="center" wrapText="1"/>
    </xf>
    <xf numFmtId="0" fontId="31" fillId="0" borderId="0" pivotButton="0" quotePrefix="0" xfId="0"/>
    <xf numFmtId="0" fontId="20" fillId="0" borderId="1" applyAlignment="1" pivotButton="0" quotePrefix="0" xfId="0">
      <alignment horizontal="left" vertical="center"/>
    </xf>
    <xf numFmtId="166" fontId="20" fillId="0" borderId="1" applyAlignment="1" pivotButton="0" quotePrefix="0" xfId="0">
      <alignment horizontal="center" vertical="center" wrapText="1"/>
    </xf>
    <xf numFmtId="1" fontId="3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b val="1"/>
        <color rgb="00C0392B"/>
      </font>
      <fill>
        <patternFill patternType="solid">
          <fgColor rgb="00FBD5D1"/>
        </patternFill>
      </fill>
    </dxf>
    <dxf>
      <fill>
        <patternFill patternType="solid">
          <fgColor rgb="00D9F0DC"/>
        </patternFill>
      </fill>
    </dxf>
    <dxf>
      <fill>
        <patternFill patternType="solid">
          <fgColor rgb="00ECEFF3"/>
        </patternFill>
      </fill>
    </dxf>
    <dxf>
      <font>
        <color rgb="00C3C8D0"/>
      </font>
      <fill>
        <patternFill patternType="solid">
          <fgColor rgb="00F6F7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hidden="1" width="13" customWidth="1" min="10" max="10"/>
    <col hidden="1" width="13" customWidth="1" min="11" max="11"/>
  </cols>
  <sheetData>
    <row r="1" ht="34" customHeight="1">
      <c r="A1" s="1" t="inlineStr">
        <is>
          <t>Kalender 2027 für Excel</t>
        </is>
      </c>
    </row>
    <row r="2">
      <c r="A2" s="2" t="inlineStr">
        <is>
          <t>Jahr und Bundesland eintragen – alle Blätter passen sich an.</t>
        </is>
      </c>
    </row>
    <row r="3">
      <c r="J3" s="3" t="inlineStr">
        <is>
          <t>Bundesländer</t>
        </is>
      </c>
    </row>
    <row r="4">
      <c r="B4" s="4" t="inlineStr">
        <is>
          <t>Jahr:</t>
        </is>
      </c>
      <c r="C4" s="5" t="n">
        <v>2027</v>
      </c>
      <c r="J4" s="6" t="inlineStr">
        <is>
          <t>– nur bundesweite Feiertage –</t>
        </is>
      </c>
    </row>
    <row r="5">
      <c r="B5" s="4" t="inlineStr">
        <is>
          <t>Bundesland:</t>
        </is>
      </c>
      <c r="C5" s="7" t="inlineStr">
        <is>
          <t>– nur bundesweite Feiertage –</t>
        </is>
      </c>
      <c r="D5" s="8" t="n"/>
      <c r="E5" s="8" t="n"/>
      <c r="F5" s="9" t="n"/>
      <c r="J5" s="6" t="inlineStr">
        <is>
          <t>Baden-Württemberg</t>
        </is>
      </c>
      <c r="K5" s="6" t="inlineStr">
        <is>
          <t>BW</t>
        </is>
      </c>
    </row>
    <row r="6">
      <c r="B6" s="10" t="inlineStr">
        <is>
          <t>Kürzel:</t>
        </is>
      </c>
      <c r="C6" s="11">
        <f>IFERROR(INDEX($K$5:$K$20,MATCH(Land,$J$5:$J$20,0)),"")</f>
        <v/>
      </c>
      <c r="J6" s="6" t="inlineStr">
        <is>
          <t>Bayern</t>
        </is>
      </c>
      <c r="K6" s="6" t="inlineStr">
        <is>
          <t>BY</t>
        </is>
      </c>
    </row>
    <row r="7">
      <c r="J7" s="6" t="inlineStr">
        <is>
          <t>Berlin</t>
        </is>
      </c>
      <c r="K7" s="6" t="inlineStr">
        <is>
          <t>BE</t>
        </is>
      </c>
    </row>
    <row r="8">
      <c r="B8" s="12" t="inlineStr">
        <is>
          <t>So funktioniert's:</t>
        </is>
      </c>
      <c r="J8" s="6" t="inlineStr">
        <is>
          <t>Brandenburg</t>
        </is>
      </c>
      <c r="K8" s="6" t="inlineStr">
        <is>
          <t>BB</t>
        </is>
      </c>
    </row>
    <row r="9">
      <c r="B9" s="13" t="inlineStr">
        <is>
          <t>1. Jahr eintragen – Daten, Wochentage, Kalenderwochen und Feiertage rechnen sich neu (jedes Jahr möglich).</t>
        </is>
      </c>
      <c r="J9" s="6" t="inlineStr">
        <is>
          <t>Bremen</t>
        </is>
      </c>
      <c r="K9" s="6" t="inlineStr">
        <is>
          <t>HB</t>
        </is>
      </c>
    </row>
    <row r="10">
      <c r="B10" s="13" t="inlineStr">
        <is>
          <t>2. Bundesland wählen – regionale Feiertage werden markiert, für 2027 auch die Schulferien.</t>
        </is>
      </c>
      <c r="J10" s="6" t="inlineStr">
        <is>
          <t>Hamburg</t>
        </is>
      </c>
      <c r="K10" s="6" t="inlineStr">
        <is>
          <t>HH</t>
        </is>
      </c>
    </row>
    <row r="11">
      <c r="B11" s="13" t="inlineStr">
        <is>
          <t>3. Im Blatt „Jahresplaner“ neben jedes Datum schreiben, in den Monatsblättern unter jeden Tag.</t>
        </is>
      </c>
      <c r="J11" s="6" t="inlineStr">
        <is>
          <t>Hessen</t>
        </is>
      </c>
      <c r="K11" s="6" t="inlineStr">
        <is>
          <t>HE</t>
        </is>
      </c>
    </row>
    <row r="12">
      <c r="B12" s="13" t="inlineStr">
        <is>
          <t>4. Drucken: Jedes Blatt passt auf eine A4-Seite (Datei → Drucken).</t>
        </is>
      </c>
      <c r="J12" s="6" t="inlineStr">
        <is>
          <t>Mecklenburg-Vorpommern</t>
        </is>
      </c>
      <c r="K12" s="6" t="inlineStr">
        <is>
          <t>MV</t>
        </is>
      </c>
    </row>
    <row r="13">
      <c r="B13" s="13" t="inlineStr"/>
      <c r="J13" s="6" t="inlineStr">
        <is>
          <t>Niedersachsen</t>
        </is>
      </c>
      <c r="K13" s="6" t="inlineStr">
        <is>
          <t>NI</t>
        </is>
      </c>
    </row>
    <row r="14">
      <c r="B14" s="13" t="inlineStr">
        <is>
          <t>Farben: rot = Feiertag · grün = Schulferien · grau = Wochenende</t>
        </is>
      </c>
      <c r="J14" s="6" t="inlineStr">
        <is>
          <t>Nordrhein-Westfalen</t>
        </is>
      </c>
      <c r="K14" s="6" t="inlineStr">
        <is>
          <t>NW</t>
        </is>
      </c>
    </row>
    <row r="15">
      <c r="J15" s="6" t="inlineStr">
        <is>
          <t>Rheinland-Pfalz</t>
        </is>
      </c>
      <c r="K15" s="6" t="inlineStr">
        <is>
          <t>RP</t>
        </is>
      </c>
    </row>
    <row r="16">
      <c r="J16" s="6" t="inlineStr">
        <is>
          <t>Saarland</t>
        </is>
      </c>
      <c r="K16" s="6" t="inlineStr">
        <is>
          <t>SL</t>
        </is>
      </c>
    </row>
    <row r="17">
      <c r="J17" s="6" t="inlineStr">
        <is>
          <t>Sachsen</t>
        </is>
      </c>
      <c r="K17" s="6" t="inlineStr">
        <is>
          <t>SN</t>
        </is>
      </c>
    </row>
    <row r="18">
      <c r="J18" s="6" t="inlineStr">
        <is>
          <t>Sachsen-Anhalt</t>
        </is>
      </c>
      <c r="K18" s="6" t="inlineStr">
        <is>
          <t>ST</t>
        </is>
      </c>
    </row>
    <row r="19">
      <c r="J19" s="6" t="inlineStr">
        <is>
          <t>Schleswig-Holstein</t>
        </is>
      </c>
      <c r="K19" s="6" t="inlineStr">
        <is>
          <t>SH</t>
        </is>
      </c>
    </row>
    <row r="20">
      <c r="J20" s="6" t="inlineStr">
        <is>
          <t>Thüringen</t>
        </is>
      </c>
      <c r="K20" s="6" t="inlineStr">
        <is>
          <t>TH</t>
        </is>
      </c>
    </row>
  </sheetData>
  <mergeCells count="1">
    <mergeCell ref="C5:F5"/>
  </mergeCells>
  <dataValidations count="1">
    <dataValidation sqref="C5" showDropDown="0" showInputMessage="0" showErrorMessage="0" allowBlank="0" prompt="Bundesland wählen: markiert regionale Feiertage und (für 2027) die Schulferien" type="list">
      <formula1>=$J$4:$J$20</formula1>
    </dataValidation>
  </dataValidations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.2" customWidth="1" min="1" max="1"/>
    <col width="9.5" customWidth="1" min="2" max="2"/>
    <col width="6.2" customWidth="1" min="3" max="3"/>
    <col width="9.5" customWidth="1" min="4" max="4"/>
    <col width="6.2" customWidth="1" min="5" max="5"/>
    <col width="9.5" customWidth="1" min="6" max="6"/>
    <col width="6.2" customWidth="1" min="7" max="7"/>
    <col width="9.5" customWidth="1" min="8" max="8"/>
    <col width="6.2" customWidth="1" min="9" max="9"/>
    <col width="9.5" customWidth="1" min="10" max="10"/>
    <col width="6.2" customWidth="1" min="11" max="11"/>
    <col width="9.5" customWidth="1" min="12" max="12"/>
    <col width="6.2" customWidth="1" min="13" max="13"/>
    <col width="9.5" customWidth="1" min="14" max="14"/>
    <col width="6.2" customWidth="1" min="15" max="15"/>
    <col width="9.5" customWidth="1" min="16" max="16"/>
    <col width="6.2" customWidth="1" min="17" max="17"/>
    <col width="9.5" customWidth="1" min="18" max="18"/>
    <col width="6.2" customWidth="1" min="19" max="19"/>
    <col width="9.5" customWidth="1" min="20" max="20"/>
    <col width="6.2" customWidth="1" min="21" max="21"/>
    <col width="9.5" customWidth="1" min="22" max="22"/>
    <col width="6.2" customWidth="1" min="23" max="23"/>
    <col width="9.5" customWidth="1" min="24" max="24"/>
  </cols>
  <sheetData>
    <row r="1" ht="30" customHeight="1">
      <c r="A1" s="14">
        <f>"Jahresplaner "&amp;Jahr</f>
        <v/>
      </c>
    </row>
    <row r="2">
      <c r="A2" s="15" t="inlineStr">
        <is>
          <t>Feiertag</t>
        </is>
      </c>
      <c r="D2" s="16" t="inlineStr">
        <is>
          <t>Schulferien (2027)</t>
        </is>
      </c>
      <c r="G2" s="17" t="inlineStr">
        <is>
          <t>Wochenende</t>
        </is>
      </c>
    </row>
    <row r="4">
      <c r="A4" s="18" t="inlineStr">
        <is>
          <t>Januar</t>
        </is>
      </c>
      <c r="B4" s="9" t="n"/>
      <c r="C4" s="18" t="inlineStr">
        <is>
          <t>Februar</t>
        </is>
      </c>
      <c r="D4" s="9" t="n"/>
      <c r="E4" s="19" t="inlineStr">
        <is>
          <t>März</t>
        </is>
      </c>
      <c r="F4" s="9" t="n"/>
      <c r="G4" s="19" t="inlineStr">
        <is>
          <t>April</t>
        </is>
      </c>
      <c r="H4" s="9" t="n"/>
      <c r="I4" s="19" t="inlineStr">
        <is>
          <t>Mai</t>
        </is>
      </c>
      <c r="J4" s="9" t="n"/>
      <c r="K4" s="20" t="inlineStr">
        <is>
          <t>Juni</t>
        </is>
      </c>
      <c r="L4" s="9" t="n"/>
      <c r="M4" s="20" t="inlineStr">
        <is>
          <t>Juli</t>
        </is>
      </c>
      <c r="N4" s="9" t="n"/>
      <c r="O4" s="20" t="inlineStr">
        <is>
          <t>August</t>
        </is>
      </c>
      <c r="P4" s="9" t="n"/>
      <c r="Q4" s="21" t="inlineStr">
        <is>
          <t>September</t>
        </is>
      </c>
      <c r="R4" s="9" t="n"/>
      <c r="S4" s="21" t="inlineStr">
        <is>
          <t>Oktober</t>
        </is>
      </c>
      <c r="T4" s="9" t="n"/>
      <c r="U4" s="21" t="inlineStr">
        <is>
          <t>November</t>
        </is>
      </c>
      <c r="V4" s="9" t="n"/>
      <c r="W4" s="18" t="inlineStr">
        <is>
          <t>Dezember</t>
        </is>
      </c>
      <c r="X4" s="9" t="n"/>
    </row>
    <row r="5" ht="15" customHeight="1">
      <c r="A5" s="22">
        <f>IF(1&lt;=DAY(DATE(Jahr,2,0)),DATE(Jahr,1,1),"")</f>
        <v/>
      </c>
      <c r="B5" s="23" t="n"/>
      <c r="C5" s="22">
        <f>IF(1&lt;=DAY(DATE(Jahr,3,0)),DATE(Jahr,2,1),"")</f>
        <v/>
      </c>
      <c r="D5" s="23" t="n"/>
      <c r="E5" s="22">
        <f>IF(1&lt;=DAY(DATE(Jahr,4,0)),DATE(Jahr,3,1),"")</f>
        <v/>
      </c>
      <c r="F5" s="23" t="n"/>
      <c r="G5" s="22">
        <f>IF(1&lt;=DAY(DATE(Jahr,5,0)),DATE(Jahr,4,1),"")</f>
        <v/>
      </c>
      <c r="H5" s="23" t="n"/>
      <c r="I5" s="22">
        <f>IF(1&lt;=DAY(DATE(Jahr,6,0)),DATE(Jahr,5,1),"")</f>
        <v/>
      </c>
      <c r="J5" s="23" t="n"/>
      <c r="K5" s="22">
        <f>IF(1&lt;=DAY(DATE(Jahr,7,0)),DATE(Jahr,6,1),"")</f>
        <v/>
      </c>
      <c r="L5" s="23" t="n"/>
      <c r="M5" s="22">
        <f>IF(1&lt;=DAY(DATE(Jahr,8,0)),DATE(Jahr,7,1),"")</f>
        <v/>
      </c>
      <c r="N5" s="23" t="n"/>
      <c r="O5" s="22">
        <f>IF(1&lt;=DAY(DATE(Jahr,9,0)),DATE(Jahr,8,1),"")</f>
        <v/>
      </c>
      <c r="P5" s="23" t="n"/>
      <c r="Q5" s="22">
        <f>IF(1&lt;=DAY(DATE(Jahr,10,0)),DATE(Jahr,9,1),"")</f>
        <v/>
      </c>
      <c r="R5" s="23" t="n"/>
      <c r="S5" s="22">
        <f>IF(1&lt;=DAY(DATE(Jahr,11,0)),DATE(Jahr,10,1),"")</f>
        <v/>
      </c>
      <c r="T5" s="23" t="n"/>
      <c r="U5" s="22">
        <f>IF(1&lt;=DAY(DATE(Jahr,12,0)),DATE(Jahr,11,1),"")</f>
        <v/>
      </c>
      <c r="V5" s="23" t="n"/>
      <c r="W5" s="22">
        <f>IF(1&lt;=DAY(DATE(Jahr,13,0)),DATE(Jahr,12,1),"")</f>
        <v/>
      </c>
      <c r="X5" s="23" t="n"/>
    </row>
    <row r="6" ht="15" customHeight="1">
      <c r="A6" s="22">
        <f>IF(2&lt;=DAY(DATE(Jahr,2,0)),DATE(Jahr,1,2),"")</f>
        <v/>
      </c>
      <c r="B6" s="23" t="n"/>
      <c r="C6" s="22">
        <f>IF(2&lt;=DAY(DATE(Jahr,3,0)),DATE(Jahr,2,2),"")</f>
        <v/>
      </c>
      <c r="D6" s="23" t="n"/>
      <c r="E6" s="22">
        <f>IF(2&lt;=DAY(DATE(Jahr,4,0)),DATE(Jahr,3,2),"")</f>
        <v/>
      </c>
      <c r="F6" s="23" t="n"/>
      <c r="G6" s="22">
        <f>IF(2&lt;=DAY(DATE(Jahr,5,0)),DATE(Jahr,4,2),"")</f>
        <v/>
      </c>
      <c r="H6" s="23" t="n"/>
      <c r="I6" s="22">
        <f>IF(2&lt;=DAY(DATE(Jahr,6,0)),DATE(Jahr,5,2),"")</f>
        <v/>
      </c>
      <c r="J6" s="23" t="n"/>
      <c r="K6" s="22">
        <f>IF(2&lt;=DAY(DATE(Jahr,7,0)),DATE(Jahr,6,2),"")</f>
        <v/>
      </c>
      <c r="L6" s="23" t="n"/>
      <c r="M6" s="22">
        <f>IF(2&lt;=DAY(DATE(Jahr,8,0)),DATE(Jahr,7,2),"")</f>
        <v/>
      </c>
      <c r="N6" s="23" t="n"/>
      <c r="O6" s="22">
        <f>IF(2&lt;=DAY(DATE(Jahr,9,0)),DATE(Jahr,8,2),"")</f>
        <v/>
      </c>
      <c r="P6" s="23" t="n"/>
      <c r="Q6" s="22">
        <f>IF(2&lt;=DAY(DATE(Jahr,10,0)),DATE(Jahr,9,2),"")</f>
        <v/>
      </c>
      <c r="R6" s="23" t="n"/>
      <c r="S6" s="22">
        <f>IF(2&lt;=DAY(DATE(Jahr,11,0)),DATE(Jahr,10,2),"")</f>
        <v/>
      </c>
      <c r="T6" s="23" t="n"/>
      <c r="U6" s="22">
        <f>IF(2&lt;=DAY(DATE(Jahr,12,0)),DATE(Jahr,11,2),"")</f>
        <v/>
      </c>
      <c r="V6" s="23" t="n"/>
      <c r="W6" s="22">
        <f>IF(2&lt;=DAY(DATE(Jahr,13,0)),DATE(Jahr,12,2),"")</f>
        <v/>
      </c>
      <c r="X6" s="23" t="n"/>
    </row>
    <row r="7" ht="15" customHeight="1">
      <c r="A7" s="22">
        <f>IF(3&lt;=DAY(DATE(Jahr,2,0)),DATE(Jahr,1,3),"")</f>
        <v/>
      </c>
      <c r="B7" s="23" t="n"/>
      <c r="C7" s="22">
        <f>IF(3&lt;=DAY(DATE(Jahr,3,0)),DATE(Jahr,2,3),"")</f>
        <v/>
      </c>
      <c r="D7" s="23" t="n"/>
      <c r="E7" s="22">
        <f>IF(3&lt;=DAY(DATE(Jahr,4,0)),DATE(Jahr,3,3),"")</f>
        <v/>
      </c>
      <c r="F7" s="23" t="n"/>
      <c r="G7" s="22">
        <f>IF(3&lt;=DAY(DATE(Jahr,5,0)),DATE(Jahr,4,3),"")</f>
        <v/>
      </c>
      <c r="H7" s="23" t="n"/>
      <c r="I7" s="22">
        <f>IF(3&lt;=DAY(DATE(Jahr,6,0)),DATE(Jahr,5,3),"")</f>
        <v/>
      </c>
      <c r="J7" s="23" t="n"/>
      <c r="K7" s="22">
        <f>IF(3&lt;=DAY(DATE(Jahr,7,0)),DATE(Jahr,6,3),"")</f>
        <v/>
      </c>
      <c r="L7" s="23" t="n"/>
      <c r="M7" s="22">
        <f>IF(3&lt;=DAY(DATE(Jahr,8,0)),DATE(Jahr,7,3),"")</f>
        <v/>
      </c>
      <c r="N7" s="23" t="n"/>
      <c r="O7" s="22">
        <f>IF(3&lt;=DAY(DATE(Jahr,9,0)),DATE(Jahr,8,3),"")</f>
        <v/>
      </c>
      <c r="P7" s="23" t="n"/>
      <c r="Q7" s="22">
        <f>IF(3&lt;=DAY(DATE(Jahr,10,0)),DATE(Jahr,9,3),"")</f>
        <v/>
      </c>
      <c r="R7" s="23" t="n"/>
      <c r="S7" s="22">
        <f>IF(3&lt;=DAY(DATE(Jahr,11,0)),DATE(Jahr,10,3),"")</f>
        <v/>
      </c>
      <c r="T7" s="23" t="n"/>
      <c r="U7" s="22">
        <f>IF(3&lt;=DAY(DATE(Jahr,12,0)),DATE(Jahr,11,3),"")</f>
        <v/>
      </c>
      <c r="V7" s="23" t="n"/>
      <c r="W7" s="22">
        <f>IF(3&lt;=DAY(DATE(Jahr,13,0)),DATE(Jahr,12,3),"")</f>
        <v/>
      </c>
      <c r="X7" s="23" t="n"/>
    </row>
    <row r="8" ht="15" customHeight="1">
      <c r="A8" s="22">
        <f>IF(4&lt;=DAY(DATE(Jahr,2,0)),DATE(Jahr,1,4),"")</f>
        <v/>
      </c>
      <c r="B8" s="23" t="n"/>
      <c r="C8" s="22">
        <f>IF(4&lt;=DAY(DATE(Jahr,3,0)),DATE(Jahr,2,4),"")</f>
        <v/>
      </c>
      <c r="D8" s="23" t="n"/>
      <c r="E8" s="22">
        <f>IF(4&lt;=DAY(DATE(Jahr,4,0)),DATE(Jahr,3,4),"")</f>
        <v/>
      </c>
      <c r="F8" s="23" t="n"/>
      <c r="G8" s="22">
        <f>IF(4&lt;=DAY(DATE(Jahr,5,0)),DATE(Jahr,4,4),"")</f>
        <v/>
      </c>
      <c r="H8" s="23" t="n"/>
      <c r="I8" s="22">
        <f>IF(4&lt;=DAY(DATE(Jahr,6,0)),DATE(Jahr,5,4),"")</f>
        <v/>
      </c>
      <c r="J8" s="23" t="n"/>
      <c r="K8" s="22">
        <f>IF(4&lt;=DAY(DATE(Jahr,7,0)),DATE(Jahr,6,4),"")</f>
        <v/>
      </c>
      <c r="L8" s="23" t="n"/>
      <c r="M8" s="22">
        <f>IF(4&lt;=DAY(DATE(Jahr,8,0)),DATE(Jahr,7,4),"")</f>
        <v/>
      </c>
      <c r="N8" s="23" t="n"/>
      <c r="O8" s="22">
        <f>IF(4&lt;=DAY(DATE(Jahr,9,0)),DATE(Jahr,8,4),"")</f>
        <v/>
      </c>
      <c r="P8" s="23" t="n"/>
      <c r="Q8" s="22">
        <f>IF(4&lt;=DAY(DATE(Jahr,10,0)),DATE(Jahr,9,4),"")</f>
        <v/>
      </c>
      <c r="R8" s="23" t="n"/>
      <c r="S8" s="22">
        <f>IF(4&lt;=DAY(DATE(Jahr,11,0)),DATE(Jahr,10,4),"")</f>
        <v/>
      </c>
      <c r="T8" s="23" t="n"/>
      <c r="U8" s="22">
        <f>IF(4&lt;=DAY(DATE(Jahr,12,0)),DATE(Jahr,11,4),"")</f>
        <v/>
      </c>
      <c r="V8" s="23" t="n"/>
      <c r="W8" s="22">
        <f>IF(4&lt;=DAY(DATE(Jahr,13,0)),DATE(Jahr,12,4),"")</f>
        <v/>
      </c>
      <c r="X8" s="23" t="n"/>
    </row>
    <row r="9" ht="15" customHeight="1">
      <c r="A9" s="22">
        <f>IF(5&lt;=DAY(DATE(Jahr,2,0)),DATE(Jahr,1,5),"")</f>
        <v/>
      </c>
      <c r="B9" s="23" t="n"/>
      <c r="C9" s="22">
        <f>IF(5&lt;=DAY(DATE(Jahr,3,0)),DATE(Jahr,2,5),"")</f>
        <v/>
      </c>
      <c r="D9" s="23" t="n"/>
      <c r="E9" s="22">
        <f>IF(5&lt;=DAY(DATE(Jahr,4,0)),DATE(Jahr,3,5),"")</f>
        <v/>
      </c>
      <c r="F9" s="23" t="n"/>
      <c r="G9" s="22">
        <f>IF(5&lt;=DAY(DATE(Jahr,5,0)),DATE(Jahr,4,5),"")</f>
        <v/>
      </c>
      <c r="H9" s="23" t="n"/>
      <c r="I9" s="22">
        <f>IF(5&lt;=DAY(DATE(Jahr,6,0)),DATE(Jahr,5,5),"")</f>
        <v/>
      </c>
      <c r="J9" s="23" t="n"/>
      <c r="K9" s="22">
        <f>IF(5&lt;=DAY(DATE(Jahr,7,0)),DATE(Jahr,6,5),"")</f>
        <v/>
      </c>
      <c r="L9" s="23" t="n"/>
      <c r="M9" s="22">
        <f>IF(5&lt;=DAY(DATE(Jahr,8,0)),DATE(Jahr,7,5),"")</f>
        <v/>
      </c>
      <c r="N9" s="23" t="n"/>
      <c r="O9" s="22">
        <f>IF(5&lt;=DAY(DATE(Jahr,9,0)),DATE(Jahr,8,5),"")</f>
        <v/>
      </c>
      <c r="P9" s="23" t="n"/>
      <c r="Q9" s="22">
        <f>IF(5&lt;=DAY(DATE(Jahr,10,0)),DATE(Jahr,9,5),"")</f>
        <v/>
      </c>
      <c r="R9" s="23" t="n"/>
      <c r="S9" s="22">
        <f>IF(5&lt;=DAY(DATE(Jahr,11,0)),DATE(Jahr,10,5),"")</f>
        <v/>
      </c>
      <c r="T9" s="23" t="n"/>
      <c r="U9" s="22">
        <f>IF(5&lt;=DAY(DATE(Jahr,12,0)),DATE(Jahr,11,5),"")</f>
        <v/>
      </c>
      <c r="V9" s="23" t="n"/>
      <c r="W9" s="22">
        <f>IF(5&lt;=DAY(DATE(Jahr,13,0)),DATE(Jahr,12,5),"")</f>
        <v/>
      </c>
      <c r="X9" s="23" t="n"/>
    </row>
    <row r="10" ht="15" customHeight="1">
      <c r="A10" s="22">
        <f>IF(6&lt;=DAY(DATE(Jahr,2,0)),DATE(Jahr,1,6),"")</f>
        <v/>
      </c>
      <c r="B10" s="23" t="n"/>
      <c r="C10" s="22">
        <f>IF(6&lt;=DAY(DATE(Jahr,3,0)),DATE(Jahr,2,6),"")</f>
        <v/>
      </c>
      <c r="D10" s="23" t="n"/>
      <c r="E10" s="22">
        <f>IF(6&lt;=DAY(DATE(Jahr,4,0)),DATE(Jahr,3,6),"")</f>
        <v/>
      </c>
      <c r="F10" s="23" t="n"/>
      <c r="G10" s="22">
        <f>IF(6&lt;=DAY(DATE(Jahr,5,0)),DATE(Jahr,4,6),"")</f>
        <v/>
      </c>
      <c r="H10" s="23" t="n"/>
      <c r="I10" s="22">
        <f>IF(6&lt;=DAY(DATE(Jahr,6,0)),DATE(Jahr,5,6),"")</f>
        <v/>
      </c>
      <c r="J10" s="23" t="n"/>
      <c r="K10" s="22">
        <f>IF(6&lt;=DAY(DATE(Jahr,7,0)),DATE(Jahr,6,6),"")</f>
        <v/>
      </c>
      <c r="L10" s="23" t="n"/>
      <c r="M10" s="22">
        <f>IF(6&lt;=DAY(DATE(Jahr,8,0)),DATE(Jahr,7,6),"")</f>
        <v/>
      </c>
      <c r="N10" s="23" t="n"/>
      <c r="O10" s="22">
        <f>IF(6&lt;=DAY(DATE(Jahr,9,0)),DATE(Jahr,8,6),"")</f>
        <v/>
      </c>
      <c r="P10" s="23" t="n"/>
      <c r="Q10" s="22">
        <f>IF(6&lt;=DAY(DATE(Jahr,10,0)),DATE(Jahr,9,6),"")</f>
        <v/>
      </c>
      <c r="R10" s="23" t="n"/>
      <c r="S10" s="22">
        <f>IF(6&lt;=DAY(DATE(Jahr,11,0)),DATE(Jahr,10,6),"")</f>
        <v/>
      </c>
      <c r="T10" s="23" t="n"/>
      <c r="U10" s="22">
        <f>IF(6&lt;=DAY(DATE(Jahr,12,0)),DATE(Jahr,11,6),"")</f>
        <v/>
      </c>
      <c r="V10" s="23" t="n"/>
      <c r="W10" s="22">
        <f>IF(6&lt;=DAY(DATE(Jahr,13,0)),DATE(Jahr,12,6),"")</f>
        <v/>
      </c>
      <c r="X10" s="23" t="n"/>
    </row>
    <row r="11" ht="15" customHeight="1">
      <c r="A11" s="22">
        <f>IF(7&lt;=DAY(DATE(Jahr,2,0)),DATE(Jahr,1,7),"")</f>
        <v/>
      </c>
      <c r="B11" s="23" t="n"/>
      <c r="C11" s="22">
        <f>IF(7&lt;=DAY(DATE(Jahr,3,0)),DATE(Jahr,2,7),"")</f>
        <v/>
      </c>
      <c r="D11" s="23" t="n"/>
      <c r="E11" s="22">
        <f>IF(7&lt;=DAY(DATE(Jahr,4,0)),DATE(Jahr,3,7),"")</f>
        <v/>
      </c>
      <c r="F11" s="23" t="n"/>
      <c r="G11" s="22">
        <f>IF(7&lt;=DAY(DATE(Jahr,5,0)),DATE(Jahr,4,7),"")</f>
        <v/>
      </c>
      <c r="H11" s="23" t="n"/>
      <c r="I11" s="22">
        <f>IF(7&lt;=DAY(DATE(Jahr,6,0)),DATE(Jahr,5,7),"")</f>
        <v/>
      </c>
      <c r="J11" s="23" t="n"/>
      <c r="K11" s="22">
        <f>IF(7&lt;=DAY(DATE(Jahr,7,0)),DATE(Jahr,6,7),"")</f>
        <v/>
      </c>
      <c r="L11" s="23" t="n"/>
      <c r="M11" s="22">
        <f>IF(7&lt;=DAY(DATE(Jahr,8,0)),DATE(Jahr,7,7),"")</f>
        <v/>
      </c>
      <c r="N11" s="23" t="n"/>
      <c r="O11" s="22">
        <f>IF(7&lt;=DAY(DATE(Jahr,9,0)),DATE(Jahr,8,7),"")</f>
        <v/>
      </c>
      <c r="P11" s="23" t="n"/>
      <c r="Q11" s="22">
        <f>IF(7&lt;=DAY(DATE(Jahr,10,0)),DATE(Jahr,9,7),"")</f>
        <v/>
      </c>
      <c r="R11" s="23" t="n"/>
      <c r="S11" s="22">
        <f>IF(7&lt;=DAY(DATE(Jahr,11,0)),DATE(Jahr,10,7),"")</f>
        <v/>
      </c>
      <c r="T11" s="23" t="n"/>
      <c r="U11" s="22">
        <f>IF(7&lt;=DAY(DATE(Jahr,12,0)),DATE(Jahr,11,7),"")</f>
        <v/>
      </c>
      <c r="V11" s="23" t="n"/>
      <c r="W11" s="22">
        <f>IF(7&lt;=DAY(DATE(Jahr,13,0)),DATE(Jahr,12,7),"")</f>
        <v/>
      </c>
      <c r="X11" s="23" t="n"/>
    </row>
    <row r="12" ht="15" customHeight="1">
      <c r="A12" s="22">
        <f>IF(8&lt;=DAY(DATE(Jahr,2,0)),DATE(Jahr,1,8),"")</f>
        <v/>
      </c>
      <c r="B12" s="23" t="n"/>
      <c r="C12" s="22">
        <f>IF(8&lt;=DAY(DATE(Jahr,3,0)),DATE(Jahr,2,8),"")</f>
        <v/>
      </c>
      <c r="D12" s="23" t="n"/>
      <c r="E12" s="22">
        <f>IF(8&lt;=DAY(DATE(Jahr,4,0)),DATE(Jahr,3,8),"")</f>
        <v/>
      </c>
      <c r="F12" s="23" t="n"/>
      <c r="G12" s="22">
        <f>IF(8&lt;=DAY(DATE(Jahr,5,0)),DATE(Jahr,4,8),"")</f>
        <v/>
      </c>
      <c r="H12" s="23" t="n"/>
      <c r="I12" s="22">
        <f>IF(8&lt;=DAY(DATE(Jahr,6,0)),DATE(Jahr,5,8),"")</f>
        <v/>
      </c>
      <c r="J12" s="23" t="n"/>
      <c r="K12" s="22">
        <f>IF(8&lt;=DAY(DATE(Jahr,7,0)),DATE(Jahr,6,8),"")</f>
        <v/>
      </c>
      <c r="L12" s="23" t="n"/>
      <c r="M12" s="22">
        <f>IF(8&lt;=DAY(DATE(Jahr,8,0)),DATE(Jahr,7,8),"")</f>
        <v/>
      </c>
      <c r="N12" s="23" t="n"/>
      <c r="O12" s="22">
        <f>IF(8&lt;=DAY(DATE(Jahr,9,0)),DATE(Jahr,8,8),"")</f>
        <v/>
      </c>
      <c r="P12" s="23" t="n"/>
      <c r="Q12" s="22">
        <f>IF(8&lt;=DAY(DATE(Jahr,10,0)),DATE(Jahr,9,8),"")</f>
        <v/>
      </c>
      <c r="R12" s="23" t="n"/>
      <c r="S12" s="22">
        <f>IF(8&lt;=DAY(DATE(Jahr,11,0)),DATE(Jahr,10,8),"")</f>
        <v/>
      </c>
      <c r="T12" s="23" t="n"/>
      <c r="U12" s="22">
        <f>IF(8&lt;=DAY(DATE(Jahr,12,0)),DATE(Jahr,11,8),"")</f>
        <v/>
      </c>
      <c r="V12" s="23" t="n"/>
      <c r="W12" s="22">
        <f>IF(8&lt;=DAY(DATE(Jahr,13,0)),DATE(Jahr,12,8),"")</f>
        <v/>
      </c>
      <c r="X12" s="23" t="n"/>
    </row>
    <row r="13" ht="15" customHeight="1">
      <c r="A13" s="22">
        <f>IF(9&lt;=DAY(DATE(Jahr,2,0)),DATE(Jahr,1,9),"")</f>
        <v/>
      </c>
      <c r="B13" s="23" t="n"/>
      <c r="C13" s="22">
        <f>IF(9&lt;=DAY(DATE(Jahr,3,0)),DATE(Jahr,2,9),"")</f>
        <v/>
      </c>
      <c r="D13" s="23" t="n"/>
      <c r="E13" s="22">
        <f>IF(9&lt;=DAY(DATE(Jahr,4,0)),DATE(Jahr,3,9),"")</f>
        <v/>
      </c>
      <c r="F13" s="23" t="n"/>
      <c r="G13" s="22">
        <f>IF(9&lt;=DAY(DATE(Jahr,5,0)),DATE(Jahr,4,9),"")</f>
        <v/>
      </c>
      <c r="H13" s="23" t="n"/>
      <c r="I13" s="22">
        <f>IF(9&lt;=DAY(DATE(Jahr,6,0)),DATE(Jahr,5,9),"")</f>
        <v/>
      </c>
      <c r="J13" s="23" t="n"/>
      <c r="K13" s="22">
        <f>IF(9&lt;=DAY(DATE(Jahr,7,0)),DATE(Jahr,6,9),"")</f>
        <v/>
      </c>
      <c r="L13" s="23" t="n"/>
      <c r="M13" s="22">
        <f>IF(9&lt;=DAY(DATE(Jahr,8,0)),DATE(Jahr,7,9),"")</f>
        <v/>
      </c>
      <c r="N13" s="23" t="n"/>
      <c r="O13" s="22">
        <f>IF(9&lt;=DAY(DATE(Jahr,9,0)),DATE(Jahr,8,9),"")</f>
        <v/>
      </c>
      <c r="P13" s="23" t="n"/>
      <c r="Q13" s="22">
        <f>IF(9&lt;=DAY(DATE(Jahr,10,0)),DATE(Jahr,9,9),"")</f>
        <v/>
      </c>
      <c r="R13" s="23" t="n"/>
      <c r="S13" s="22">
        <f>IF(9&lt;=DAY(DATE(Jahr,11,0)),DATE(Jahr,10,9),"")</f>
        <v/>
      </c>
      <c r="T13" s="23" t="n"/>
      <c r="U13" s="22">
        <f>IF(9&lt;=DAY(DATE(Jahr,12,0)),DATE(Jahr,11,9),"")</f>
        <v/>
      </c>
      <c r="V13" s="23" t="n"/>
      <c r="W13" s="22">
        <f>IF(9&lt;=DAY(DATE(Jahr,13,0)),DATE(Jahr,12,9),"")</f>
        <v/>
      </c>
      <c r="X13" s="23" t="n"/>
    </row>
    <row r="14" ht="15" customHeight="1">
      <c r="A14" s="22">
        <f>IF(10&lt;=DAY(DATE(Jahr,2,0)),DATE(Jahr,1,10),"")</f>
        <v/>
      </c>
      <c r="B14" s="23" t="n"/>
      <c r="C14" s="22">
        <f>IF(10&lt;=DAY(DATE(Jahr,3,0)),DATE(Jahr,2,10),"")</f>
        <v/>
      </c>
      <c r="D14" s="23" t="n"/>
      <c r="E14" s="22">
        <f>IF(10&lt;=DAY(DATE(Jahr,4,0)),DATE(Jahr,3,10),"")</f>
        <v/>
      </c>
      <c r="F14" s="23" t="n"/>
      <c r="G14" s="22">
        <f>IF(10&lt;=DAY(DATE(Jahr,5,0)),DATE(Jahr,4,10),"")</f>
        <v/>
      </c>
      <c r="H14" s="23" t="n"/>
      <c r="I14" s="22">
        <f>IF(10&lt;=DAY(DATE(Jahr,6,0)),DATE(Jahr,5,10),"")</f>
        <v/>
      </c>
      <c r="J14" s="23" t="n"/>
      <c r="K14" s="22">
        <f>IF(10&lt;=DAY(DATE(Jahr,7,0)),DATE(Jahr,6,10),"")</f>
        <v/>
      </c>
      <c r="L14" s="23" t="n"/>
      <c r="M14" s="22">
        <f>IF(10&lt;=DAY(DATE(Jahr,8,0)),DATE(Jahr,7,10),"")</f>
        <v/>
      </c>
      <c r="N14" s="23" t="n"/>
      <c r="O14" s="22">
        <f>IF(10&lt;=DAY(DATE(Jahr,9,0)),DATE(Jahr,8,10),"")</f>
        <v/>
      </c>
      <c r="P14" s="23" t="n"/>
      <c r="Q14" s="22">
        <f>IF(10&lt;=DAY(DATE(Jahr,10,0)),DATE(Jahr,9,10),"")</f>
        <v/>
      </c>
      <c r="R14" s="23" t="n"/>
      <c r="S14" s="22">
        <f>IF(10&lt;=DAY(DATE(Jahr,11,0)),DATE(Jahr,10,10),"")</f>
        <v/>
      </c>
      <c r="T14" s="23" t="n"/>
      <c r="U14" s="22">
        <f>IF(10&lt;=DAY(DATE(Jahr,12,0)),DATE(Jahr,11,10),"")</f>
        <v/>
      </c>
      <c r="V14" s="23" t="n"/>
      <c r="W14" s="22">
        <f>IF(10&lt;=DAY(DATE(Jahr,13,0)),DATE(Jahr,12,10),"")</f>
        <v/>
      </c>
      <c r="X14" s="23" t="n"/>
    </row>
    <row r="15" ht="15" customHeight="1">
      <c r="A15" s="22">
        <f>IF(11&lt;=DAY(DATE(Jahr,2,0)),DATE(Jahr,1,11),"")</f>
        <v/>
      </c>
      <c r="B15" s="23" t="n"/>
      <c r="C15" s="22">
        <f>IF(11&lt;=DAY(DATE(Jahr,3,0)),DATE(Jahr,2,11),"")</f>
        <v/>
      </c>
      <c r="D15" s="23" t="n"/>
      <c r="E15" s="22">
        <f>IF(11&lt;=DAY(DATE(Jahr,4,0)),DATE(Jahr,3,11),"")</f>
        <v/>
      </c>
      <c r="F15" s="23" t="n"/>
      <c r="G15" s="22">
        <f>IF(11&lt;=DAY(DATE(Jahr,5,0)),DATE(Jahr,4,11),"")</f>
        <v/>
      </c>
      <c r="H15" s="23" t="n"/>
      <c r="I15" s="22">
        <f>IF(11&lt;=DAY(DATE(Jahr,6,0)),DATE(Jahr,5,11),"")</f>
        <v/>
      </c>
      <c r="J15" s="23" t="n"/>
      <c r="K15" s="22">
        <f>IF(11&lt;=DAY(DATE(Jahr,7,0)),DATE(Jahr,6,11),"")</f>
        <v/>
      </c>
      <c r="L15" s="23" t="n"/>
      <c r="M15" s="22">
        <f>IF(11&lt;=DAY(DATE(Jahr,8,0)),DATE(Jahr,7,11),"")</f>
        <v/>
      </c>
      <c r="N15" s="23" t="n"/>
      <c r="O15" s="22">
        <f>IF(11&lt;=DAY(DATE(Jahr,9,0)),DATE(Jahr,8,11),"")</f>
        <v/>
      </c>
      <c r="P15" s="23" t="n"/>
      <c r="Q15" s="22">
        <f>IF(11&lt;=DAY(DATE(Jahr,10,0)),DATE(Jahr,9,11),"")</f>
        <v/>
      </c>
      <c r="R15" s="23" t="n"/>
      <c r="S15" s="22">
        <f>IF(11&lt;=DAY(DATE(Jahr,11,0)),DATE(Jahr,10,11),"")</f>
        <v/>
      </c>
      <c r="T15" s="23" t="n"/>
      <c r="U15" s="22">
        <f>IF(11&lt;=DAY(DATE(Jahr,12,0)),DATE(Jahr,11,11),"")</f>
        <v/>
      </c>
      <c r="V15" s="23" t="n"/>
      <c r="W15" s="22">
        <f>IF(11&lt;=DAY(DATE(Jahr,13,0)),DATE(Jahr,12,11),"")</f>
        <v/>
      </c>
      <c r="X15" s="23" t="n"/>
    </row>
    <row r="16" ht="15" customHeight="1">
      <c r="A16" s="22">
        <f>IF(12&lt;=DAY(DATE(Jahr,2,0)),DATE(Jahr,1,12),"")</f>
        <v/>
      </c>
      <c r="B16" s="23" t="n"/>
      <c r="C16" s="22">
        <f>IF(12&lt;=DAY(DATE(Jahr,3,0)),DATE(Jahr,2,12),"")</f>
        <v/>
      </c>
      <c r="D16" s="23" t="n"/>
      <c r="E16" s="22">
        <f>IF(12&lt;=DAY(DATE(Jahr,4,0)),DATE(Jahr,3,12),"")</f>
        <v/>
      </c>
      <c r="F16" s="23" t="n"/>
      <c r="G16" s="22">
        <f>IF(12&lt;=DAY(DATE(Jahr,5,0)),DATE(Jahr,4,12),"")</f>
        <v/>
      </c>
      <c r="H16" s="23" t="n"/>
      <c r="I16" s="22">
        <f>IF(12&lt;=DAY(DATE(Jahr,6,0)),DATE(Jahr,5,12),"")</f>
        <v/>
      </c>
      <c r="J16" s="23" t="n"/>
      <c r="K16" s="22">
        <f>IF(12&lt;=DAY(DATE(Jahr,7,0)),DATE(Jahr,6,12),"")</f>
        <v/>
      </c>
      <c r="L16" s="23" t="n"/>
      <c r="M16" s="22">
        <f>IF(12&lt;=DAY(DATE(Jahr,8,0)),DATE(Jahr,7,12),"")</f>
        <v/>
      </c>
      <c r="N16" s="23" t="n"/>
      <c r="O16" s="22">
        <f>IF(12&lt;=DAY(DATE(Jahr,9,0)),DATE(Jahr,8,12),"")</f>
        <v/>
      </c>
      <c r="P16" s="23" t="n"/>
      <c r="Q16" s="22">
        <f>IF(12&lt;=DAY(DATE(Jahr,10,0)),DATE(Jahr,9,12),"")</f>
        <v/>
      </c>
      <c r="R16" s="23" t="n"/>
      <c r="S16" s="22">
        <f>IF(12&lt;=DAY(DATE(Jahr,11,0)),DATE(Jahr,10,12),"")</f>
        <v/>
      </c>
      <c r="T16" s="23" t="n"/>
      <c r="U16" s="22">
        <f>IF(12&lt;=DAY(DATE(Jahr,12,0)),DATE(Jahr,11,12),"")</f>
        <v/>
      </c>
      <c r="V16" s="23" t="n"/>
      <c r="W16" s="22">
        <f>IF(12&lt;=DAY(DATE(Jahr,13,0)),DATE(Jahr,12,12),"")</f>
        <v/>
      </c>
      <c r="X16" s="23" t="n"/>
    </row>
    <row r="17" ht="15" customHeight="1">
      <c r="A17" s="22">
        <f>IF(13&lt;=DAY(DATE(Jahr,2,0)),DATE(Jahr,1,13),"")</f>
        <v/>
      </c>
      <c r="B17" s="23" t="n"/>
      <c r="C17" s="22">
        <f>IF(13&lt;=DAY(DATE(Jahr,3,0)),DATE(Jahr,2,13),"")</f>
        <v/>
      </c>
      <c r="D17" s="23" t="n"/>
      <c r="E17" s="22">
        <f>IF(13&lt;=DAY(DATE(Jahr,4,0)),DATE(Jahr,3,13),"")</f>
        <v/>
      </c>
      <c r="F17" s="23" t="n"/>
      <c r="G17" s="22">
        <f>IF(13&lt;=DAY(DATE(Jahr,5,0)),DATE(Jahr,4,13),"")</f>
        <v/>
      </c>
      <c r="H17" s="23" t="n"/>
      <c r="I17" s="22">
        <f>IF(13&lt;=DAY(DATE(Jahr,6,0)),DATE(Jahr,5,13),"")</f>
        <v/>
      </c>
      <c r="J17" s="23" t="n"/>
      <c r="K17" s="22">
        <f>IF(13&lt;=DAY(DATE(Jahr,7,0)),DATE(Jahr,6,13),"")</f>
        <v/>
      </c>
      <c r="L17" s="23" t="n"/>
      <c r="M17" s="22">
        <f>IF(13&lt;=DAY(DATE(Jahr,8,0)),DATE(Jahr,7,13),"")</f>
        <v/>
      </c>
      <c r="N17" s="23" t="n"/>
      <c r="O17" s="22">
        <f>IF(13&lt;=DAY(DATE(Jahr,9,0)),DATE(Jahr,8,13),"")</f>
        <v/>
      </c>
      <c r="P17" s="23" t="n"/>
      <c r="Q17" s="22">
        <f>IF(13&lt;=DAY(DATE(Jahr,10,0)),DATE(Jahr,9,13),"")</f>
        <v/>
      </c>
      <c r="R17" s="23" t="n"/>
      <c r="S17" s="22">
        <f>IF(13&lt;=DAY(DATE(Jahr,11,0)),DATE(Jahr,10,13),"")</f>
        <v/>
      </c>
      <c r="T17" s="23" t="n"/>
      <c r="U17" s="22">
        <f>IF(13&lt;=DAY(DATE(Jahr,12,0)),DATE(Jahr,11,13),"")</f>
        <v/>
      </c>
      <c r="V17" s="23" t="n"/>
      <c r="W17" s="22">
        <f>IF(13&lt;=DAY(DATE(Jahr,13,0)),DATE(Jahr,12,13),"")</f>
        <v/>
      </c>
      <c r="X17" s="23" t="n"/>
    </row>
    <row r="18" ht="15" customHeight="1">
      <c r="A18" s="22">
        <f>IF(14&lt;=DAY(DATE(Jahr,2,0)),DATE(Jahr,1,14),"")</f>
        <v/>
      </c>
      <c r="B18" s="23" t="n"/>
      <c r="C18" s="22">
        <f>IF(14&lt;=DAY(DATE(Jahr,3,0)),DATE(Jahr,2,14),"")</f>
        <v/>
      </c>
      <c r="D18" s="23" t="n"/>
      <c r="E18" s="22">
        <f>IF(14&lt;=DAY(DATE(Jahr,4,0)),DATE(Jahr,3,14),"")</f>
        <v/>
      </c>
      <c r="F18" s="23" t="n"/>
      <c r="G18" s="22">
        <f>IF(14&lt;=DAY(DATE(Jahr,5,0)),DATE(Jahr,4,14),"")</f>
        <v/>
      </c>
      <c r="H18" s="23" t="n"/>
      <c r="I18" s="22">
        <f>IF(14&lt;=DAY(DATE(Jahr,6,0)),DATE(Jahr,5,14),"")</f>
        <v/>
      </c>
      <c r="J18" s="23" t="n"/>
      <c r="K18" s="22">
        <f>IF(14&lt;=DAY(DATE(Jahr,7,0)),DATE(Jahr,6,14),"")</f>
        <v/>
      </c>
      <c r="L18" s="23" t="n"/>
      <c r="M18" s="22">
        <f>IF(14&lt;=DAY(DATE(Jahr,8,0)),DATE(Jahr,7,14),"")</f>
        <v/>
      </c>
      <c r="N18" s="23" t="n"/>
      <c r="O18" s="22">
        <f>IF(14&lt;=DAY(DATE(Jahr,9,0)),DATE(Jahr,8,14),"")</f>
        <v/>
      </c>
      <c r="P18" s="23" t="n"/>
      <c r="Q18" s="22">
        <f>IF(14&lt;=DAY(DATE(Jahr,10,0)),DATE(Jahr,9,14),"")</f>
        <v/>
      </c>
      <c r="R18" s="23" t="n"/>
      <c r="S18" s="22">
        <f>IF(14&lt;=DAY(DATE(Jahr,11,0)),DATE(Jahr,10,14),"")</f>
        <v/>
      </c>
      <c r="T18" s="23" t="n"/>
      <c r="U18" s="22">
        <f>IF(14&lt;=DAY(DATE(Jahr,12,0)),DATE(Jahr,11,14),"")</f>
        <v/>
      </c>
      <c r="V18" s="23" t="n"/>
      <c r="W18" s="22">
        <f>IF(14&lt;=DAY(DATE(Jahr,13,0)),DATE(Jahr,12,14),"")</f>
        <v/>
      </c>
      <c r="X18" s="23" t="n"/>
    </row>
    <row r="19" ht="15" customHeight="1">
      <c r="A19" s="22">
        <f>IF(15&lt;=DAY(DATE(Jahr,2,0)),DATE(Jahr,1,15),"")</f>
        <v/>
      </c>
      <c r="B19" s="23" t="n"/>
      <c r="C19" s="22">
        <f>IF(15&lt;=DAY(DATE(Jahr,3,0)),DATE(Jahr,2,15),"")</f>
        <v/>
      </c>
      <c r="D19" s="23" t="n"/>
      <c r="E19" s="22">
        <f>IF(15&lt;=DAY(DATE(Jahr,4,0)),DATE(Jahr,3,15),"")</f>
        <v/>
      </c>
      <c r="F19" s="23" t="n"/>
      <c r="G19" s="22">
        <f>IF(15&lt;=DAY(DATE(Jahr,5,0)),DATE(Jahr,4,15),"")</f>
        <v/>
      </c>
      <c r="H19" s="23" t="n"/>
      <c r="I19" s="22">
        <f>IF(15&lt;=DAY(DATE(Jahr,6,0)),DATE(Jahr,5,15),"")</f>
        <v/>
      </c>
      <c r="J19" s="23" t="n"/>
      <c r="K19" s="22">
        <f>IF(15&lt;=DAY(DATE(Jahr,7,0)),DATE(Jahr,6,15),"")</f>
        <v/>
      </c>
      <c r="L19" s="23" t="n"/>
      <c r="M19" s="22">
        <f>IF(15&lt;=DAY(DATE(Jahr,8,0)),DATE(Jahr,7,15),"")</f>
        <v/>
      </c>
      <c r="N19" s="23" t="n"/>
      <c r="O19" s="22">
        <f>IF(15&lt;=DAY(DATE(Jahr,9,0)),DATE(Jahr,8,15),"")</f>
        <v/>
      </c>
      <c r="P19" s="23" t="n"/>
      <c r="Q19" s="22">
        <f>IF(15&lt;=DAY(DATE(Jahr,10,0)),DATE(Jahr,9,15),"")</f>
        <v/>
      </c>
      <c r="R19" s="23" t="n"/>
      <c r="S19" s="22">
        <f>IF(15&lt;=DAY(DATE(Jahr,11,0)),DATE(Jahr,10,15),"")</f>
        <v/>
      </c>
      <c r="T19" s="23" t="n"/>
      <c r="U19" s="22">
        <f>IF(15&lt;=DAY(DATE(Jahr,12,0)),DATE(Jahr,11,15),"")</f>
        <v/>
      </c>
      <c r="V19" s="23" t="n"/>
      <c r="W19" s="22">
        <f>IF(15&lt;=DAY(DATE(Jahr,13,0)),DATE(Jahr,12,15),"")</f>
        <v/>
      </c>
      <c r="X19" s="23" t="n"/>
    </row>
    <row r="20" ht="15" customHeight="1">
      <c r="A20" s="22">
        <f>IF(16&lt;=DAY(DATE(Jahr,2,0)),DATE(Jahr,1,16),"")</f>
        <v/>
      </c>
      <c r="B20" s="23" t="n"/>
      <c r="C20" s="22">
        <f>IF(16&lt;=DAY(DATE(Jahr,3,0)),DATE(Jahr,2,16),"")</f>
        <v/>
      </c>
      <c r="D20" s="23" t="n"/>
      <c r="E20" s="22">
        <f>IF(16&lt;=DAY(DATE(Jahr,4,0)),DATE(Jahr,3,16),"")</f>
        <v/>
      </c>
      <c r="F20" s="23" t="n"/>
      <c r="G20" s="22">
        <f>IF(16&lt;=DAY(DATE(Jahr,5,0)),DATE(Jahr,4,16),"")</f>
        <v/>
      </c>
      <c r="H20" s="23" t="n"/>
      <c r="I20" s="22">
        <f>IF(16&lt;=DAY(DATE(Jahr,6,0)),DATE(Jahr,5,16),"")</f>
        <v/>
      </c>
      <c r="J20" s="23" t="n"/>
      <c r="K20" s="22">
        <f>IF(16&lt;=DAY(DATE(Jahr,7,0)),DATE(Jahr,6,16),"")</f>
        <v/>
      </c>
      <c r="L20" s="23" t="n"/>
      <c r="M20" s="22">
        <f>IF(16&lt;=DAY(DATE(Jahr,8,0)),DATE(Jahr,7,16),"")</f>
        <v/>
      </c>
      <c r="N20" s="23" t="n"/>
      <c r="O20" s="22">
        <f>IF(16&lt;=DAY(DATE(Jahr,9,0)),DATE(Jahr,8,16),"")</f>
        <v/>
      </c>
      <c r="P20" s="23" t="n"/>
      <c r="Q20" s="22">
        <f>IF(16&lt;=DAY(DATE(Jahr,10,0)),DATE(Jahr,9,16),"")</f>
        <v/>
      </c>
      <c r="R20" s="23" t="n"/>
      <c r="S20" s="22">
        <f>IF(16&lt;=DAY(DATE(Jahr,11,0)),DATE(Jahr,10,16),"")</f>
        <v/>
      </c>
      <c r="T20" s="23" t="n"/>
      <c r="U20" s="22">
        <f>IF(16&lt;=DAY(DATE(Jahr,12,0)),DATE(Jahr,11,16),"")</f>
        <v/>
      </c>
      <c r="V20" s="23" t="n"/>
      <c r="W20" s="22">
        <f>IF(16&lt;=DAY(DATE(Jahr,13,0)),DATE(Jahr,12,16),"")</f>
        <v/>
      </c>
      <c r="X20" s="23" t="n"/>
    </row>
    <row r="21" ht="15" customHeight="1">
      <c r="A21" s="22">
        <f>IF(17&lt;=DAY(DATE(Jahr,2,0)),DATE(Jahr,1,17),"")</f>
        <v/>
      </c>
      <c r="B21" s="23" t="n"/>
      <c r="C21" s="22">
        <f>IF(17&lt;=DAY(DATE(Jahr,3,0)),DATE(Jahr,2,17),"")</f>
        <v/>
      </c>
      <c r="D21" s="23" t="n"/>
      <c r="E21" s="22">
        <f>IF(17&lt;=DAY(DATE(Jahr,4,0)),DATE(Jahr,3,17),"")</f>
        <v/>
      </c>
      <c r="F21" s="23" t="n"/>
      <c r="G21" s="22">
        <f>IF(17&lt;=DAY(DATE(Jahr,5,0)),DATE(Jahr,4,17),"")</f>
        <v/>
      </c>
      <c r="H21" s="23" t="n"/>
      <c r="I21" s="22">
        <f>IF(17&lt;=DAY(DATE(Jahr,6,0)),DATE(Jahr,5,17),"")</f>
        <v/>
      </c>
      <c r="J21" s="23" t="n"/>
      <c r="K21" s="22">
        <f>IF(17&lt;=DAY(DATE(Jahr,7,0)),DATE(Jahr,6,17),"")</f>
        <v/>
      </c>
      <c r="L21" s="23" t="n"/>
      <c r="M21" s="22">
        <f>IF(17&lt;=DAY(DATE(Jahr,8,0)),DATE(Jahr,7,17),"")</f>
        <v/>
      </c>
      <c r="N21" s="23" t="n"/>
      <c r="O21" s="22">
        <f>IF(17&lt;=DAY(DATE(Jahr,9,0)),DATE(Jahr,8,17),"")</f>
        <v/>
      </c>
      <c r="P21" s="23" t="n"/>
      <c r="Q21" s="22">
        <f>IF(17&lt;=DAY(DATE(Jahr,10,0)),DATE(Jahr,9,17),"")</f>
        <v/>
      </c>
      <c r="R21" s="23" t="n"/>
      <c r="S21" s="22">
        <f>IF(17&lt;=DAY(DATE(Jahr,11,0)),DATE(Jahr,10,17),"")</f>
        <v/>
      </c>
      <c r="T21" s="23" t="n"/>
      <c r="U21" s="22">
        <f>IF(17&lt;=DAY(DATE(Jahr,12,0)),DATE(Jahr,11,17),"")</f>
        <v/>
      </c>
      <c r="V21" s="23" t="n"/>
      <c r="W21" s="22">
        <f>IF(17&lt;=DAY(DATE(Jahr,13,0)),DATE(Jahr,12,17),"")</f>
        <v/>
      </c>
      <c r="X21" s="23" t="n"/>
    </row>
    <row r="22" ht="15" customHeight="1">
      <c r="A22" s="22">
        <f>IF(18&lt;=DAY(DATE(Jahr,2,0)),DATE(Jahr,1,18),"")</f>
        <v/>
      </c>
      <c r="B22" s="23" t="n"/>
      <c r="C22" s="22">
        <f>IF(18&lt;=DAY(DATE(Jahr,3,0)),DATE(Jahr,2,18),"")</f>
        <v/>
      </c>
      <c r="D22" s="23" t="n"/>
      <c r="E22" s="22">
        <f>IF(18&lt;=DAY(DATE(Jahr,4,0)),DATE(Jahr,3,18),"")</f>
        <v/>
      </c>
      <c r="F22" s="23" t="n"/>
      <c r="G22" s="22">
        <f>IF(18&lt;=DAY(DATE(Jahr,5,0)),DATE(Jahr,4,18),"")</f>
        <v/>
      </c>
      <c r="H22" s="23" t="n"/>
      <c r="I22" s="22">
        <f>IF(18&lt;=DAY(DATE(Jahr,6,0)),DATE(Jahr,5,18),"")</f>
        <v/>
      </c>
      <c r="J22" s="23" t="n"/>
      <c r="K22" s="22">
        <f>IF(18&lt;=DAY(DATE(Jahr,7,0)),DATE(Jahr,6,18),"")</f>
        <v/>
      </c>
      <c r="L22" s="23" t="n"/>
      <c r="M22" s="22">
        <f>IF(18&lt;=DAY(DATE(Jahr,8,0)),DATE(Jahr,7,18),"")</f>
        <v/>
      </c>
      <c r="N22" s="23" t="n"/>
      <c r="O22" s="22">
        <f>IF(18&lt;=DAY(DATE(Jahr,9,0)),DATE(Jahr,8,18),"")</f>
        <v/>
      </c>
      <c r="P22" s="23" t="n"/>
      <c r="Q22" s="22">
        <f>IF(18&lt;=DAY(DATE(Jahr,10,0)),DATE(Jahr,9,18),"")</f>
        <v/>
      </c>
      <c r="R22" s="23" t="n"/>
      <c r="S22" s="22">
        <f>IF(18&lt;=DAY(DATE(Jahr,11,0)),DATE(Jahr,10,18),"")</f>
        <v/>
      </c>
      <c r="T22" s="23" t="n"/>
      <c r="U22" s="22">
        <f>IF(18&lt;=DAY(DATE(Jahr,12,0)),DATE(Jahr,11,18),"")</f>
        <v/>
      </c>
      <c r="V22" s="23" t="n"/>
      <c r="W22" s="22">
        <f>IF(18&lt;=DAY(DATE(Jahr,13,0)),DATE(Jahr,12,18),"")</f>
        <v/>
      </c>
      <c r="X22" s="23" t="n"/>
    </row>
    <row r="23" ht="15" customHeight="1">
      <c r="A23" s="22">
        <f>IF(19&lt;=DAY(DATE(Jahr,2,0)),DATE(Jahr,1,19),"")</f>
        <v/>
      </c>
      <c r="B23" s="23" t="n"/>
      <c r="C23" s="22">
        <f>IF(19&lt;=DAY(DATE(Jahr,3,0)),DATE(Jahr,2,19),"")</f>
        <v/>
      </c>
      <c r="D23" s="23" t="n"/>
      <c r="E23" s="22">
        <f>IF(19&lt;=DAY(DATE(Jahr,4,0)),DATE(Jahr,3,19),"")</f>
        <v/>
      </c>
      <c r="F23" s="23" t="n"/>
      <c r="G23" s="22">
        <f>IF(19&lt;=DAY(DATE(Jahr,5,0)),DATE(Jahr,4,19),"")</f>
        <v/>
      </c>
      <c r="H23" s="23" t="n"/>
      <c r="I23" s="22">
        <f>IF(19&lt;=DAY(DATE(Jahr,6,0)),DATE(Jahr,5,19),"")</f>
        <v/>
      </c>
      <c r="J23" s="23" t="n"/>
      <c r="K23" s="22">
        <f>IF(19&lt;=DAY(DATE(Jahr,7,0)),DATE(Jahr,6,19),"")</f>
        <v/>
      </c>
      <c r="L23" s="23" t="n"/>
      <c r="M23" s="22">
        <f>IF(19&lt;=DAY(DATE(Jahr,8,0)),DATE(Jahr,7,19),"")</f>
        <v/>
      </c>
      <c r="N23" s="23" t="n"/>
      <c r="O23" s="22">
        <f>IF(19&lt;=DAY(DATE(Jahr,9,0)),DATE(Jahr,8,19),"")</f>
        <v/>
      </c>
      <c r="P23" s="23" t="n"/>
      <c r="Q23" s="22">
        <f>IF(19&lt;=DAY(DATE(Jahr,10,0)),DATE(Jahr,9,19),"")</f>
        <v/>
      </c>
      <c r="R23" s="23" t="n"/>
      <c r="S23" s="22">
        <f>IF(19&lt;=DAY(DATE(Jahr,11,0)),DATE(Jahr,10,19),"")</f>
        <v/>
      </c>
      <c r="T23" s="23" t="n"/>
      <c r="U23" s="22">
        <f>IF(19&lt;=DAY(DATE(Jahr,12,0)),DATE(Jahr,11,19),"")</f>
        <v/>
      </c>
      <c r="V23" s="23" t="n"/>
      <c r="W23" s="22">
        <f>IF(19&lt;=DAY(DATE(Jahr,13,0)),DATE(Jahr,12,19),"")</f>
        <v/>
      </c>
      <c r="X23" s="23" t="n"/>
    </row>
    <row r="24" ht="15" customHeight="1">
      <c r="A24" s="22">
        <f>IF(20&lt;=DAY(DATE(Jahr,2,0)),DATE(Jahr,1,20),"")</f>
        <v/>
      </c>
      <c r="B24" s="23" t="n"/>
      <c r="C24" s="22">
        <f>IF(20&lt;=DAY(DATE(Jahr,3,0)),DATE(Jahr,2,20),"")</f>
        <v/>
      </c>
      <c r="D24" s="23" t="n"/>
      <c r="E24" s="22">
        <f>IF(20&lt;=DAY(DATE(Jahr,4,0)),DATE(Jahr,3,20),"")</f>
        <v/>
      </c>
      <c r="F24" s="23" t="n"/>
      <c r="G24" s="22">
        <f>IF(20&lt;=DAY(DATE(Jahr,5,0)),DATE(Jahr,4,20),"")</f>
        <v/>
      </c>
      <c r="H24" s="23" t="n"/>
      <c r="I24" s="22">
        <f>IF(20&lt;=DAY(DATE(Jahr,6,0)),DATE(Jahr,5,20),"")</f>
        <v/>
      </c>
      <c r="J24" s="23" t="n"/>
      <c r="K24" s="22">
        <f>IF(20&lt;=DAY(DATE(Jahr,7,0)),DATE(Jahr,6,20),"")</f>
        <v/>
      </c>
      <c r="L24" s="23" t="n"/>
      <c r="M24" s="22">
        <f>IF(20&lt;=DAY(DATE(Jahr,8,0)),DATE(Jahr,7,20),"")</f>
        <v/>
      </c>
      <c r="N24" s="23" t="n"/>
      <c r="O24" s="22">
        <f>IF(20&lt;=DAY(DATE(Jahr,9,0)),DATE(Jahr,8,20),"")</f>
        <v/>
      </c>
      <c r="P24" s="23" t="n"/>
      <c r="Q24" s="22">
        <f>IF(20&lt;=DAY(DATE(Jahr,10,0)),DATE(Jahr,9,20),"")</f>
        <v/>
      </c>
      <c r="R24" s="23" t="n"/>
      <c r="S24" s="22">
        <f>IF(20&lt;=DAY(DATE(Jahr,11,0)),DATE(Jahr,10,20),"")</f>
        <v/>
      </c>
      <c r="T24" s="23" t="n"/>
      <c r="U24" s="22">
        <f>IF(20&lt;=DAY(DATE(Jahr,12,0)),DATE(Jahr,11,20),"")</f>
        <v/>
      </c>
      <c r="V24" s="23" t="n"/>
      <c r="W24" s="22">
        <f>IF(20&lt;=DAY(DATE(Jahr,13,0)),DATE(Jahr,12,20),"")</f>
        <v/>
      </c>
      <c r="X24" s="23" t="n"/>
    </row>
    <row r="25" ht="15" customHeight="1">
      <c r="A25" s="22">
        <f>IF(21&lt;=DAY(DATE(Jahr,2,0)),DATE(Jahr,1,21),"")</f>
        <v/>
      </c>
      <c r="B25" s="23" t="n"/>
      <c r="C25" s="22">
        <f>IF(21&lt;=DAY(DATE(Jahr,3,0)),DATE(Jahr,2,21),"")</f>
        <v/>
      </c>
      <c r="D25" s="23" t="n"/>
      <c r="E25" s="22">
        <f>IF(21&lt;=DAY(DATE(Jahr,4,0)),DATE(Jahr,3,21),"")</f>
        <v/>
      </c>
      <c r="F25" s="23" t="n"/>
      <c r="G25" s="22">
        <f>IF(21&lt;=DAY(DATE(Jahr,5,0)),DATE(Jahr,4,21),"")</f>
        <v/>
      </c>
      <c r="H25" s="23" t="n"/>
      <c r="I25" s="22">
        <f>IF(21&lt;=DAY(DATE(Jahr,6,0)),DATE(Jahr,5,21),"")</f>
        <v/>
      </c>
      <c r="J25" s="23" t="n"/>
      <c r="K25" s="22">
        <f>IF(21&lt;=DAY(DATE(Jahr,7,0)),DATE(Jahr,6,21),"")</f>
        <v/>
      </c>
      <c r="L25" s="23" t="n"/>
      <c r="M25" s="22">
        <f>IF(21&lt;=DAY(DATE(Jahr,8,0)),DATE(Jahr,7,21),"")</f>
        <v/>
      </c>
      <c r="N25" s="23" t="n"/>
      <c r="O25" s="22">
        <f>IF(21&lt;=DAY(DATE(Jahr,9,0)),DATE(Jahr,8,21),"")</f>
        <v/>
      </c>
      <c r="P25" s="23" t="n"/>
      <c r="Q25" s="22">
        <f>IF(21&lt;=DAY(DATE(Jahr,10,0)),DATE(Jahr,9,21),"")</f>
        <v/>
      </c>
      <c r="R25" s="23" t="n"/>
      <c r="S25" s="22">
        <f>IF(21&lt;=DAY(DATE(Jahr,11,0)),DATE(Jahr,10,21),"")</f>
        <v/>
      </c>
      <c r="T25" s="23" t="n"/>
      <c r="U25" s="22">
        <f>IF(21&lt;=DAY(DATE(Jahr,12,0)),DATE(Jahr,11,21),"")</f>
        <v/>
      </c>
      <c r="V25" s="23" t="n"/>
      <c r="W25" s="22">
        <f>IF(21&lt;=DAY(DATE(Jahr,13,0)),DATE(Jahr,12,21),"")</f>
        <v/>
      </c>
      <c r="X25" s="23" t="n"/>
    </row>
    <row r="26" ht="15" customHeight="1">
      <c r="A26" s="22">
        <f>IF(22&lt;=DAY(DATE(Jahr,2,0)),DATE(Jahr,1,22),"")</f>
        <v/>
      </c>
      <c r="B26" s="23" t="n"/>
      <c r="C26" s="22">
        <f>IF(22&lt;=DAY(DATE(Jahr,3,0)),DATE(Jahr,2,22),"")</f>
        <v/>
      </c>
      <c r="D26" s="23" t="n"/>
      <c r="E26" s="22">
        <f>IF(22&lt;=DAY(DATE(Jahr,4,0)),DATE(Jahr,3,22),"")</f>
        <v/>
      </c>
      <c r="F26" s="23" t="n"/>
      <c r="G26" s="22">
        <f>IF(22&lt;=DAY(DATE(Jahr,5,0)),DATE(Jahr,4,22),"")</f>
        <v/>
      </c>
      <c r="H26" s="23" t="n"/>
      <c r="I26" s="22">
        <f>IF(22&lt;=DAY(DATE(Jahr,6,0)),DATE(Jahr,5,22),"")</f>
        <v/>
      </c>
      <c r="J26" s="23" t="n"/>
      <c r="K26" s="22">
        <f>IF(22&lt;=DAY(DATE(Jahr,7,0)),DATE(Jahr,6,22),"")</f>
        <v/>
      </c>
      <c r="L26" s="23" t="n"/>
      <c r="M26" s="22">
        <f>IF(22&lt;=DAY(DATE(Jahr,8,0)),DATE(Jahr,7,22),"")</f>
        <v/>
      </c>
      <c r="N26" s="23" t="n"/>
      <c r="O26" s="22">
        <f>IF(22&lt;=DAY(DATE(Jahr,9,0)),DATE(Jahr,8,22),"")</f>
        <v/>
      </c>
      <c r="P26" s="23" t="n"/>
      <c r="Q26" s="22">
        <f>IF(22&lt;=DAY(DATE(Jahr,10,0)),DATE(Jahr,9,22),"")</f>
        <v/>
      </c>
      <c r="R26" s="23" t="n"/>
      <c r="S26" s="22">
        <f>IF(22&lt;=DAY(DATE(Jahr,11,0)),DATE(Jahr,10,22),"")</f>
        <v/>
      </c>
      <c r="T26" s="23" t="n"/>
      <c r="U26" s="22">
        <f>IF(22&lt;=DAY(DATE(Jahr,12,0)),DATE(Jahr,11,22),"")</f>
        <v/>
      </c>
      <c r="V26" s="23" t="n"/>
      <c r="W26" s="22">
        <f>IF(22&lt;=DAY(DATE(Jahr,13,0)),DATE(Jahr,12,22),"")</f>
        <v/>
      </c>
      <c r="X26" s="23" t="n"/>
    </row>
    <row r="27" ht="15" customHeight="1">
      <c r="A27" s="22">
        <f>IF(23&lt;=DAY(DATE(Jahr,2,0)),DATE(Jahr,1,23),"")</f>
        <v/>
      </c>
      <c r="B27" s="23" t="n"/>
      <c r="C27" s="22">
        <f>IF(23&lt;=DAY(DATE(Jahr,3,0)),DATE(Jahr,2,23),"")</f>
        <v/>
      </c>
      <c r="D27" s="23" t="n"/>
      <c r="E27" s="22">
        <f>IF(23&lt;=DAY(DATE(Jahr,4,0)),DATE(Jahr,3,23),"")</f>
        <v/>
      </c>
      <c r="F27" s="23" t="n"/>
      <c r="G27" s="22">
        <f>IF(23&lt;=DAY(DATE(Jahr,5,0)),DATE(Jahr,4,23),"")</f>
        <v/>
      </c>
      <c r="H27" s="23" t="n"/>
      <c r="I27" s="22">
        <f>IF(23&lt;=DAY(DATE(Jahr,6,0)),DATE(Jahr,5,23),"")</f>
        <v/>
      </c>
      <c r="J27" s="23" t="n"/>
      <c r="K27" s="22">
        <f>IF(23&lt;=DAY(DATE(Jahr,7,0)),DATE(Jahr,6,23),"")</f>
        <v/>
      </c>
      <c r="L27" s="23" t="n"/>
      <c r="M27" s="22">
        <f>IF(23&lt;=DAY(DATE(Jahr,8,0)),DATE(Jahr,7,23),"")</f>
        <v/>
      </c>
      <c r="N27" s="23" t="n"/>
      <c r="O27" s="22">
        <f>IF(23&lt;=DAY(DATE(Jahr,9,0)),DATE(Jahr,8,23),"")</f>
        <v/>
      </c>
      <c r="P27" s="23" t="n"/>
      <c r="Q27" s="22">
        <f>IF(23&lt;=DAY(DATE(Jahr,10,0)),DATE(Jahr,9,23),"")</f>
        <v/>
      </c>
      <c r="R27" s="23" t="n"/>
      <c r="S27" s="22">
        <f>IF(23&lt;=DAY(DATE(Jahr,11,0)),DATE(Jahr,10,23),"")</f>
        <v/>
      </c>
      <c r="T27" s="23" t="n"/>
      <c r="U27" s="22">
        <f>IF(23&lt;=DAY(DATE(Jahr,12,0)),DATE(Jahr,11,23),"")</f>
        <v/>
      </c>
      <c r="V27" s="23" t="n"/>
      <c r="W27" s="22">
        <f>IF(23&lt;=DAY(DATE(Jahr,13,0)),DATE(Jahr,12,23),"")</f>
        <v/>
      </c>
      <c r="X27" s="23" t="n"/>
    </row>
    <row r="28" ht="15" customHeight="1">
      <c r="A28" s="22">
        <f>IF(24&lt;=DAY(DATE(Jahr,2,0)),DATE(Jahr,1,24),"")</f>
        <v/>
      </c>
      <c r="B28" s="23" t="n"/>
      <c r="C28" s="22">
        <f>IF(24&lt;=DAY(DATE(Jahr,3,0)),DATE(Jahr,2,24),"")</f>
        <v/>
      </c>
      <c r="D28" s="23" t="n"/>
      <c r="E28" s="22">
        <f>IF(24&lt;=DAY(DATE(Jahr,4,0)),DATE(Jahr,3,24),"")</f>
        <v/>
      </c>
      <c r="F28" s="23" t="n"/>
      <c r="G28" s="22">
        <f>IF(24&lt;=DAY(DATE(Jahr,5,0)),DATE(Jahr,4,24),"")</f>
        <v/>
      </c>
      <c r="H28" s="23" t="n"/>
      <c r="I28" s="22">
        <f>IF(24&lt;=DAY(DATE(Jahr,6,0)),DATE(Jahr,5,24),"")</f>
        <v/>
      </c>
      <c r="J28" s="23" t="n"/>
      <c r="K28" s="22">
        <f>IF(24&lt;=DAY(DATE(Jahr,7,0)),DATE(Jahr,6,24),"")</f>
        <v/>
      </c>
      <c r="L28" s="23" t="n"/>
      <c r="M28" s="22">
        <f>IF(24&lt;=DAY(DATE(Jahr,8,0)),DATE(Jahr,7,24),"")</f>
        <v/>
      </c>
      <c r="N28" s="23" t="n"/>
      <c r="O28" s="22">
        <f>IF(24&lt;=DAY(DATE(Jahr,9,0)),DATE(Jahr,8,24),"")</f>
        <v/>
      </c>
      <c r="P28" s="23" t="n"/>
      <c r="Q28" s="22">
        <f>IF(24&lt;=DAY(DATE(Jahr,10,0)),DATE(Jahr,9,24),"")</f>
        <v/>
      </c>
      <c r="R28" s="23" t="n"/>
      <c r="S28" s="22">
        <f>IF(24&lt;=DAY(DATE(Jahr,11,0)),DATE(Jahr,10,24),"")</f>
        <v/>
      </c>
      <c r="T28" s="23" t="n"/>
      <c r="U28" s="22">
        <f>IF(24&lt;=DAY(DATE(Jahr,12,0)),DATE(Jahr,11,24),"")</f>
        <v/>
      </c>
      <c r="V28" s="23" t="n"/>
      <c r="W28" s="22">
        <f>IF(24&lt;=DAY(DATE(Jahr,13,0)),DATE(Jahr,12,24),"")</f>
        <v/>
      </c>
      <c r="X28" s="23" t="n"/>
    </row>
    <row r="29" ht="15" customHeight="1">
      <c r="A29" s="22">
        <f>IF(25&lt;=DAY(DATE(Jahr,2,0)),DATE(Jahr,1,25),"")</f>
        <v/>
      </c>
      <c r="B29" s="23" t="n"/>
      <c r="C29" s="22">
        <f>IF(25&lt;=DAY(DATE(Jahr,3,0)),DATE(Jahr,2,25),"")</f>
        <v/>
      </c>
      <c r="D29" s="23" t="n"/>
      <c r="E29" s="22">
        <f>IF(25&lt;=DAY(DATE(Jahr,4,0)),DATE(Jahr,3,25),"")</f>
        <v/>
      </c>
      <c r="F29" s="23" t="n"/>
      <c r="G29" s="22">
        <f>IF(25&lt;=DAY(DATE(Jahr,5,0)),DATE(Jahr,4,25),"")</f>
        <v/>
      </c>
      <c r="H29" s="23" t="n"/>
      <c r="I29" s="22">
        <f>IF(25&lt;=DAY(DATE(Jahr,6,0)),DATE(Jahr,5,25),"")</f>
        <v/>
      </c>
      <c r="J29" s="23" t="n"/>
      <c r="K29" s="22">
        <f>IF(25&lt;=DAY(DATE(Jahr,7,0)),DATE(Jahr,6,25),"")</f>
        <v/>
      </c>
      <c r="L29" s="23" t="n"/>
      <c r="M29" s="22">
        <f>IF(25&lt;=DAY(DATE(Jahr,8,0)),DATE(Jahr,7,25),"")</f>
        <v/>
      </c>
      <c r="N29" s="23" t="n"/>
      <c r="O29" s="22">
        <f>IF(25&lt;=DAY(DATE(Jahr,9,0)),DATE(Jahr,8,25),"")</f>
        <v/>
      </c>
      <c r="P29" s="23" t="n"/>
      <c r="Q29" s="22">
        <f>IF(25&lt;=DAY(DATE(Jahr,10,0)),DATE(Jahr,9,25),"")</f>
        <v/>
      </c>
      <c r="R29" s="23" t="n"/>
      <c r="S29" s="22">
        <f>IF(25&lt;=DAY(DATE(Jahr,11,0)),DATE(Jahr,10,25),"")</f>
        <v/>
      </c>
      <c r="T29" s="23" t="n"/>
      <c r="U29" s="22">
        <f>IF(25&lt;=DAY(DATE(Jahr,12,0)),DATE(Jahr,11,25),"")</f>
        <v/>
      </c>
      <c r="V29" s="23" t="n"/>
      <c r="W29" s="22">
        <f>IF(25&lt;=DAY(DATE(Jahr,13,0)),DATE(Jahr,12,25),"")</f>
        <v/>
      </c>
      <c r="X29" s="23" t="n"/>
    </row>
    <row r="30" ht="15" customHeight="1">
      <c r="A30" s="22">
        <f>IF(26&lt;=DAY(DATE(Jahr,2,0)),DATE(Jahr,1,26),"")</f>
        <v/>
      </c>
      <c r="B30" s="23" t="n"/>
      <c r="C30" s="22">
        <f>IF(26&lt;=DAY(DATE(Jahr,3,0)),DATE(Jahr,2,26),"")</f>
        <v/>
      </c>
      <c r="D30" s="23" t="n"/>
      <c r="E30" s="22">
        <f>IF(26&lt;=DAY(DATE(Jahr,4,0)),DATE(Jahr,3,26),"")</f>
        <v/>
      </c>
      <c r="F30" s="23" t="n"/>
      <c r="G30" s="22">
        <f>IF(26&lt;=DAY(DATE(Jahr,5,0)),DATE(Jahr,4,26),"")</f>
        <v/>
      </c>
      <c r="H30" s="23" t="n"/>
      <c r="I30" s="22">
        <f>IF(26&lt;=DAY(DATE(Jahr,6,0)),DATE(Jahr,5,26),"")</f>
        <v/>
      </c>
      <c r="J30" s="23" t="n"/>
      <c r="K30" s="22">
        <f>IF(26&lt;=DAY(DATE(Jahr,7,0)),DATE(Jahr,6,26),"")</f>
        <v/>
      </c>
      <c r="L30" s="23" t="n"/>
      <c r="M30" s="22">
        <f>IF(26&lt;=DAY(DATE(Jahr,8,0)),DATE(Jahr,7,26),"")</f>
        <v/>
      </c>
      <c r="N30" s="23" t="n"/>
      <c r="O30" s="22">
        <f>IF(26&lt;=DAY(DATE(Jahr,9,0)),DATE(Jahr,8,26),"")</f>
        <v/>
      </c>
      <c r="P30" s="23" t="n"/>
      <c r="Q30" s="22">
        <f>IF(26&lt;=DAY(DATE(Jahr,10,0)),DATE(Jahr,9,26),"")</f>
        <v/>
      </c>
      <c r="R30" s="23" t="n"/>
      <c r="S30" s="22">
        <f>IF(26&lt;=DAY(DATE(Jahr,11,0)),DATE(Jahr,10,26),"")</f>
        <v/>
      </c>
      <c r="T30" s="23" t="n"/>
      <c r="U30" s="22">
        <f>IF(26&lt;=DAY(DATE(Jahr,12,0)),DATE(Jahr,11,26),"")</f>
        <v/>
      </c>
      <c r="V30" s="23" t="n"/>
      <c r="W30" s="22">
        <f>IF(26&lt;=DAY(DATE(Jahr,13,0)),DATE(Jahr,12,26),"")</f>
        <v/>
      </c>
      <c r="X30" s="23" t="n"/>
    </row>
    <row r="31" ht="15" customHeight="1">
      <c r="A31" s="22">
        <f>IF(27&lt;=DAY(DATE(Jahr,2,0)),DATE(Jahr,1,27),"")</f>
        <v/>
      </c>
      <c r="B31" s="23" t="n"/>
      <c r="C31" s="22">
        <f>IF(27&lt;=DAY(DATE(Jahr,3,0)),DATE(Jahr,2,27),"")</f>
        <v/>
      </c>
      <c r="D31" s="23" t="n"/>
      <c r="E31" s="22">
        <f>IF(27&lt;=DAY(DATE(Jahr,4,0)),DATE(Jahr,3,27),"")</f>
        <v/>
      </c>
      <c r="F31" s="23" t="n"/>
      <c r="G31" s="22">
        <f>IF(27&lt;=DAY(DATE(Jahr,5,0)),DATE(Jahr,4,27),"")</f>
        <v/>
      </c>
      <c r="H31" s="23" t="n"/>
      <c r="I31" s="22">
        <f>IF(27&lt;=DAY(DATE(Jahr,6,0)),DATE(Jahr,5,27),"")</f>
        <v/>
      </c>
      <c r="J31" s="23" t="n"/>
      <c r="K31" s="22">
        <f>IF(27&lt;=DAY(DATE(Jahr,7,0)),DATE(Jahr,6,27),"")</f>
        <v/>
      </c>
      <c r="L31" s="23" t="n"/>
      <c r="M31" s="22">
        <f>IF(27&lt;=DAY(DATE(Jahr,8,0)),DATE(Jahr,7,27),"")</f>
        <v/>
      </c>
      <c r="N31" s="23" t="n"/>
      <c r="O31" s="22">
        <f>IF(27&lt;=DAY(DATE(Jahr,9,0)),DATE(Jahr,8,27),"")</f>
        <v/>
      </c>
      <c r="P31" s="23" t="n"/>
      <c r="Q31" s="22">
        <f>IF(27&lt;=DAY(DATE(Jahr,10,0)),DATE(Jahr,9,27),"")</f>
        <v/>
      </c>
      <c r="R31" s="23" t="n"/>
      <c r="S31" s="22">
        <f>IF(27&lt;=DAY(DATE(Jahr,11,0)),DATE(Jahr,10,27),"")</f>
        <v/>
      </c>
      <c r="T31" s="23" t="n"/>
      <c r="U31" s="22">
        <f>IF(27&lt;=DAY(DATE(Jahr,12,0)),DATE(Jahr,11,27),"")</f>
        <v/>
      </c>
      <c r="V31" s="23" t="n"/>
      <c r="W31" s="22">
        <f>IF(27&lt;=DAY(DATE(Jahr,13,0)),DATE(Jahr,12,27),"")</f>
        <v/>
      </c>
      <c r="X31" s="23" t="n"/>
    </row>
    <row r="32" ht="15" customHeight="1">
      <c r="A32" s="22">
        <f>IF(28&lt;=DAY(DATE(Jahr,2,0)),DATE(Jahr,1,28),"")</f>
        <v/>
      </c>
      <c r="B32" s="23" t="n"/>
      <c r="C32" s="22">
        <f>IF(28&lt;=DAY(DATE(Jahr,3,0)),DATE(Jahr,2,28),"")</f>
        <v/>
      </c>
      <c r="D32" s="23" t="n"/>
      <c r="E32" s="22">
        <f>IF(28&lt;=DAY(DATE(Jahr,4,0)),DATE(Jahr,3,28),"")</f>
        <v/>
      </c>
      <c r="F32" s="23" t="n"/>
      <c r="G32" s="22">
        <f>IF(28&lt;=DAY(DATE(Jahr,5,0)),DATE(Jahr,4,28),"")</f>
        <v/>
      </c>
      <c r="H32" s="23" t="n"/>
      <c r="I32" s="22">
        <f>IF(28&lt;=DAY(DATE(Jahr,6,0)),DATE(Jahr,5,28),"")</f>
        <v/>
      </c>
      <c r="J32" s="23" t="n"/>
      <c r="K32" s="22">
        <f>IF(28&lt;=DAY(DATE(Jahr,7,0)),DATE(Jahr,6,28),"")</f>
        <v/>
      </c>
      <c r="L32" s="23" t="n"/>
      <c r="M32" s="22">
        <f>IF(28&lt;=DAY(DATE(Jahr,8,0)),DATE(Jahr,7,28),"")</f>
        <v/>
      </c>
      <c r="N32" s="23" t="n"/>
      <c r="O32" s="22">
        <f>IF(28&lt;=DAY(DATE(Jahr,9,0)),DATE(Jahr,8,28),"")</f>
        <v/>
      </c>
      <c r="P32" s="23" t="n"/>
      <c r="Q32" s="22">
        <f>IF(28&lt;=DAY(DATE(Jahr,10,0)),DATE(Jahr,9,28),"")</f>
        <v/>
      </c>
      <c r="R32" s="23" t="n"/>
      <c r="S32" s="22">
        <f>IF(28&lt;=DAY(DATE(Jahr,11,0)),DATE(Jahr,10,28),"")</f>
        <v/>
      </c>
      <c r="T32" s="23" t="n"/>
      <c r="U32" s="22">
        <f>IF(28&lt;=DAY(DATE(Jahr,12,0)),DATE(Jahr,11,28),"")</f>
        <v/>
      </c>
      <c r="V32" s="23" t="n"/>
      <c r="W32" s="22">
        <f>IF(28&lt;=DAY(DATE(Jahr,13,0)),DATE(Jahr,12,28),"")</f>
        <v/>
      </c>
      <c r="X32" s="23" t="n"/>
    </row>
    <row r="33" ht="15" customHeight="1">
      <c r="A33" s="22">
        <f>IF(29&lt;=DAY(DATE(Jahr,2,0)),DATE(Jahr,1,29),"")</f>
        <v/>
      </c>
      <c r="B33" s="23" t="n"/>
      <c r="C33" s="22">
        <f>IF(29&lt;=DAY(DATE(Jahr,3,0)),DATE(Jahr,2,29),"")</f>
        <v/>
      </c>
      <c r="D33" s="23" t="n"/>
      <c r="E33" s="22">
        <f>IF(29&lt;=DAY(DATE(Jahr,4,0)),DATE(Jahr,3,29),"")</f>
        <v/>
      </c>
      <c r="F33" s="23" t="n"/>
      <c r="G33" s="22">
        <f>IF(29&lt;=DAY(DATE(Jahr,5,0)),DATE(Jahr,4,29),"")</f>
        <v/>
      </c>
      <c r="H33" s="23" t="n"/>
      <c r="I33" s="22">
        <f>IF(29&lt;=DAY(DATE(Jahr,6,0)),DATE(Jahr,5,29),"")</f>
        <v/>
      </c>
      <c r="J33" s="23" t="n"/>
      <c r="K33" s="22">
        <f>IF(29&lt;=DAY(DATE(Jahr,7,0)),DATE(Jahr,6,29),"")</f>
        <v/>
      </c>
      <c r="L33" s="23" t="n"/>
      <c r="M33" s="22">
        <f>IF(29&lt;=DAY(DATE(Jahr,8,0)),DATE(Jahr,7,29),"")</f>
        <v/>
      </c>
      <c r="N33" s="23" t="n"/>
      <c r="O33" s="22">
        <f>IF(29&lt;=DAY(DATE(Jahr,9,0)),DATE(Jahr,8,29),"")</f>
        <v/>
      </c>
      <c r="P33" s="23" t="n"/>
      <c r="Q33" s="22">
        <f>IF(29&lt;=DAY(DATE(Jahr,10,0)),DATE(Jahr,9,29),"")</f>
        <v/>
      </c>
      <c r="R33" s="23" t="n"/>
      <c r="S33" s="22">
        <f>IF(29&lt;=DAY(DATE(Jahr,11,0)),DATE(Jahr,10,29),"")</f>
        <v/>
      </c>
      <c r="T33" s="23" t="n"/>
      <c r="U33" s="22">
        <f>IF(29&lt;=DAY(DATE(Jahr,12,0)),DATE(Jahr,11,29),"")</f>
        <v/>
      </c>
      <c r="V33" s="23" t="n"/>
      <c r="W33" s="22">
        <f>IF(29&lt;=DAY(DATE(Jahr,13,0)),DATE(Jahr,12,29),"")</f>
        <v/>
      </c>
      <c r="X33" s="23" t="n"/>
    </row>
    <row r="34" ht="15" customHeight="1">
      <c r="A34" s="22">
        <f>IF(30&lt;=DAY(DATE(Jahr,2,0)),DATE(Jahr,1,30),"")</f>
        <v/>
      </c>
      <c r="B34" s="23" t="n"/>
      <c r="C34" s="22">
        <f>IF(30&lt;=DAY(DATE(Jahr,3,0)),DATE(Jahr,2,30),"")</f>
        <v/>
      </c>
      <c r="D34" s="23" t="n"/>
      <c r="E34" s="22">
        <f>IF(30&lt;=DAY(DATE(Jahr,4,0)),DATE(Jahr,3,30),"")</f>
        <v/>
      </c>
      <c r="F34" s="23" t="n"/>
      <c r="G34" s="22">
        <f>IF(30&lt;=DAY(DATE(Jahr,5,0)),DATE(Jahr,4,30),"")</f>
        <v/>
      </c>
      <c r="H34" s="23" t="n"/>
      <c r="I34" s="22">
        <f>IF(30&lt;=DAY(DATE(Jahr,6,0)),DATE(Jahr,5,30),"")</f>
        <v/>
      </c>
      <c r="J34" s="23" t="n"/>
      <c r="K34" s="22">
        <f>IF(30&lt;=DAY(DATE(Jahr,7,0)),DATE(Jahr,6,30),"")</f>
        <v/>
      </c>
      <c r="L34" s="23" t="n"/>
      <c r="M34" s="22">
        <f>IF(30&lt;=DAY(DATE(Jahr,8,0)),DATE(Jahr,7,30),"")</f>
        <v/>
      </c>
      <c r="N34" s="23" t="n"/>
      <c r="O34" s="22">
        <f>IF(30&lt;=DAY(DATE(Jahr,9,0)),DATE(Jahr,8,30),"")</f>
        <v/>
      </c>
      <c r="P34" s="23" t="n"/>
      <c r="Q34" s="22">
        <f>IF(30&lt;=DAY(DATE(Jahr,10,0)),DATE(Jahr,9,30),"")</f>
        <v/>
      </c>
      <c r="R34" s="23" t="n"/>
      <c r="S34" s="22">
        <f>IF(30&lt;=DAY(DATE(Jahr,11,0)),DATE(Jahr,10,30),"")</f>
        <v/>
      </c>
      <c r="T34" s="23" t="n"/>
      <c r="U34" s="22">
        <f>IF(30&lt;=DAY(DATE(Jahr,12,0)),DATE(Jahr,11,30),"")</f>
        <v/>
      </c>
      <c r="V34" s="23" t="n"/>
      <c r="W34" s="22">
        <f>IF(30&lt;=DAY(DATE(Jahr,13,0)),DATE(Jahr,12,30),"")</f>
        <v/>
      </c>
      <c r="X34" s="23" t="n"/>
    </row>
    <row r="35" ht="15" customHeight="1">
      <c r="A35" s="22">
        <f>IF(31&lt;=DAY(DATE(Jahr,2,0)),DATE(Jahr,1,31),"")</f>
        <v/>
      </c>
      <c r="B35" s="23" t="n"/>
      <c r="C35" s="22">
        <f>IF(31&lt;=DAY(DATE(Jahr,3,0)),DATE(Jahr,2,31),"")</f>
        <v/>
      </c>
      <c r="D35" s="23" t="n"/>
      <c r="E35" s="22">
        <f>IF(31&lt;=DAY(DATE(Jahr,4,0)),DATE(Jahr,3,31),"")</f>
        <v/>
      </c>
      <c r="F35" s="23" t="n"/>
      <c r="G35" s="22">
        <f>IF(31&lt;=DAY(DATE(Jahr,5,0)),DATE(Jahr,4,31),"")</f>
        <v/>
      </c>
      <c r="H35" s="23" t="n"/>
      <c r="I35" s="22">
        <f>IF(31&lt;=DAY(DATE(Jahr,6,0)),DATE(Jahr,5,31),"")</f>
        <v/>
      </c>
      <c r="J35" s="23" t="n"/>
      <c r="K35" s="22">
        <f>IF(31&lt;=DAY(DATE(Jahr,7,0)),DATE(Jahr,6,31),"")</f>
        <v/>
      </c>
      <c r="L35" s="23" t="n"/>
      <c r="M35" s="22">
        <f>IF(31&lt;=DAY(DATE(Jahr,8,0)),DATE(Jahr,7,31),"")</f>
        <v/>
      </c>
      <c r="N35" s="23" t="n"/>
      <c r="O35" s="22">
        <f>IF(31&lt;=DAY(DATE(Jahr,9,0)),DATE(Jahr,8,31),"")</f>
        <v/>
      </c>
      <c r="P35" s="23" t="n"/>
      <c r="Q35" s="22">
        <f>IF(31&lt;=DAY(DATE(Jahr,10,0)),DATE(Jahr,9,31),"")</f>
        <v/>
      </c>
      <c r="R35" s="23" t="n"/>
      <c r="S35" s="22">
        <f>IF(31&lt;=DAY(DATE(Jahr,11,0)),DATE(Jahr,10,31),"")</f>
        <v/>
      </c>
      <c r="T35" s="23" t="n"/>
      <c r="U35" s="22">
        <f>IF(31&lt;=DAY(DATE(Jahr,12,0)),DATE(Jahr,11,31),"")</f>
        <v/>
      </c>
      <c r="V35" s="23" t="n"/>
      <c r="W35" s="22">
        <f>IF(31&lt;=DAY(DATE(Jahr,13,0)),DATE(Jahr,12,31),"")</f>
        <v/>
      </c>
      <c r="X35" s="23" t="n"/>
    </row>
  </sheetData>
  <mergeCells count="12">
    <mergeCell ref="A4:B4"/>
    <mergeCell ref="G4:H4"/>
    <mergeCell ref="E4:F4"/>
    <mergeCell ref="W4:X4"/>
    <mergeCell ref="I4:J4"/>
    <mergeCell ref="U4:V4"/>
    <mergeCell ref="K4:L4"/>
    <mergeCell ref="O4:P4"/>
    <mergeCell ref="M4:N4"/>
    <mergeCell ref="S4:T4"/>
    <mergeCell ref="Q4:R4"/>
    <mergeCell ref="C4:D4"/>
  </mergeCells>
  <conditionalFormatting sqref="A5:B35">
    <cfRule type="expression" priority="1" dxfId="0">
      <formula>AND($A5&lt;&gt;"",COUNTIF(FtGilt,$A5)&gt;0)</formula>
    </cfRule>
    <cfRule type="expression" priority="2" dxfId="1">
      <formula>AND($A5&lt;&gt;"",SUMPRODUCT(FerAktiv*(FerVon&lt;=$A5)*(FerBis&gt;=$A5))&gt;0)</formula>
    </cfRule>
    <cfRule type="expression" priority="3" dxfId="2">
      <formula>AND($A5&lt;&gt;"",WEEKDAY($A5,2)&gt;5)</formula>
    </cfRule>
  </conditionalFormatting>
  <conditionalFormatting sqref="C5:D35">
    <cfRule type="expression" priority="4" dxfId="0">
      <formula>AND($C5&lt;&gt;"",COUNTIF(FtGilt,$C5)&gt;0)</formula>
    </cfRule>
    <cfRule type="expression" priority="5" dxfId="1">
      <formula>AND($C5&lt;&gt;"",SUMPRODUCT(FerAktiv*(FerVon&lt;=$C5)*(FerBis&gt;=$C5))&gt;0)</formula>
    </cfRule>
    <cfRule type="expression" priority="6" dxfId="2">
      <formula>AND($C5&lt;&gt;"",WEEKDAY($C5,2)&gt;5)</formula>
    </cfRule>
  </conditionalFormatting>
  <conditionalFormatting sqref="E5:F35">
    <cfRule type="expression" priority="7" dxfId="0">
      <formula>AND($E5&lt;&gt;"",COUNTIF(FtGilt,$E5)&gt;0)</formula>
    </cfRule>
    <cfRule type="expression" priority="8" dxfId="1">
      <formula>AND($E5&lt;&gt;"",SUMPRODUCT(FerAktiv*(FerVon&lt;=$E5)*(FerBis&gt;=$E5))&gt;0)</formula>
    </cfRule>
    <cfRule type="expression" priority="9" dxfId="2">
      <formula>AND($E5&lt;&gt;"",WEEKDAY($E5,2)&gt;5)</formula>
    </cfRule>
  </conditionalFormatting>
  <conditionalFormatting sqref="G5:H35">
    <cfRule type="expression" priority="10" dxfId="0">
      <formula>AND($G5&lt;&gt;"",COUNTIF(FtGilt,$G5)&gt;0)</formula>
    </cfRule>
    <cfRule type="expression" priority="11" dxfId="1">
      <formula>AND($G5&lt;&gt;"",SUMPRODUCT(FerAktiv*(FerVon&lt;=$G5)*(FerBis&gt;=$G5))&gt;0)</formula>
    </cfRule>
    <cfRule type="expression" priority="12" dxfId="2">
      <formula>AND($G5&lt;&gt;"",WEEKDAY($G5,2)&gt;5)</formula>
    </cfRule>
  </conditionalFormatting>
  <conditionalFormatting sqref="I5:J35">
    <cfRule type="expression" priority="13" dxfId="0">
      <formula>AND($I5&lt;&gt;"",COUNTIF(FtGilt,$I5)&gt;0)</formula>
    </cfRule>
    <cfRule type="expression" priority="14" dxfId="1">
      <formula>AND($I5&lt;&gt;"",SUMPRODUCT(FerAktiv*(FerVon&lt;=$I5)*(FerBis&gt;=$I5))&gt;0)</formula>
    </cfRule>
    <cfRule type="expression" priority="15" dxfId="2">
      <formula>AND($I5&lt;&gt;"",WEEKDAY($I5,2)&gt;5)</formula>
    </cfRule>
  </conditionalFormatting>
  <conditionalFormatting sqref="K5:L35">
    <cfRule type="expression" priority="16" dxfId="0">
      <formula>AND($K5&lt;&gt;"",COUNTIF(FtGilt,$K5)&gt;0)</formula>
    </cfRule>
    <cfRule type="expression" priority="17" dxfId="1">
      <formula>AND($K5&lt;&gt;"",SUMPRODUCT(FerAktiv*(FerVon&lt;=$K5)*(FerBis&gt;=$K5))&gt;0)</formula>
    </cfRule>
    <cfRule type="expression" priority="18" dxfId="2">
      <formula>AND($K5&lt;&gt;"",WEEKDAY($K5,2)&gt;5)</formula>
    </cfRule>
  </conditionalFormatting>
  <conditionalFormatting sqref="M5:N35">
    <cfRule type="expression" priority="19" dxfId="0">
      <formula>AND($M5&lt;&gt;"",COUNTIF(FtGilt,$M5)&gt;0)</formula>
    </cfRule>
    <cfRule type="expression" priority="20" dxfId="1">
      <formula>AND($M5&lt;&gt;"",SUMPRODUCT(FerAktiv*(FerVon&lt;=$M5)*(FerBis&gt;=$M5))&gt;0)</formula>
    </cfRule>
    <cfRule type="expression" priority="21" dxfId="2">
      <formula>AND($M5&lt;&gt;"",WEEKDAY($M5,2)&gt;5)</formula>
    </cfRule>
  </conditionalFormatting>
  <conditionalFormatting sqref="O5:P35">
    <cfRule type="expression" priority="22" dxfId="0">
      <formula>AND($O5&lt;&gt;"",COUNTIF(FtGilt,$O5)&gt;0)</formula>
    </cfRule>
    <cfRule type="expression" priority="23" dxfId="1">
      <formula>AND($O5&lt;&gt;"",SUMPRODUCT(FerAktiv*(FerVon&lt;=$O5)*(FerBis&gt;=$O5))&gt;0)</formula>
    </cfRule>
    <cfRule type="expression" priority="24" dxfId="2">
      <formula>AND($O5&lt;&gt;"",WEEKDAY($O5,2)&gt;5)</formula>
    </cfRule>
  </conditionalFormatting>
  <conditionalFormatting sqref="Q5:R35">
    <cfRule type="expression" priority="25" dxfId="0">
      <formula>AND($Q5&lt;&gt;"",COUNTIF(FtGilt,$Q5)&gt;0)</formula>
    </cfRule>
    <cfRule type="expression" priority="26" dxfId="1">
      <formula>AND($Q5&lt;&gt;"",SUMPRODUCT(FerAktiv*(FerVon&lt;=$Q5)*(FerBis&gt;=$Q5))&gt;0)</formula>
    </cfRule>
    <cfRule type="expression" priority="27" dxfId="2">
      <formula>AND($Q5&lt;&gt;"",WEEKDAY($Q5,2)&gt;5)</formula>
    </cfRule>
  </conditionalFormatting>
  <conditionalFormatting sqref="S5:T35">
    <cfRule type="expression" priority="28" dxfId="0">
      <formula>AND($S5&lt;&gt;"",COUNTIF(FtGilt,$S5)&gt;0)</formula>
    </cfRule>
    <cfRule type="expression" priority="29" dxfId="1">
      <formula>AND($S5&lt;&gt;"",SUMPRODUCT(FerAktiv*(FerVon&lt;=$S5)*(FerBis&gt;=$S5))&gt;0)</formula>
    </cfRule>
    <cfRule type="expression" priority="30" dxfId="2">
      <formula>AND($S5&lt;&gt;"",WEEKDAY($S5,2)&gt;5)</formula>
    </cfRule>
  </conditionalFormatting>
  <conditionalFormatting sqref="U5:V35">
    <cfRule type="expression" priority="31" dxfId="0">
      <formula>AND($U5&lt;&gt;"",COUNTIF(FtGilt,$U5)&gt;0)</formula>
    </cfRule>
    <cfRule type="expression" priority="32" dxfId="1">
      <formula>AND($U5&lt;&gt;"",SUMPRODUCT(FerAktiv*(FerVon&lt;=$U5)*(FerBis&gt;=$U5))&gt;0)</formula>
    </cfRule>
    <cfRule type="expression" priority="33" dxfId="2">
      <formula>AND($U5&lt;&gt;"",WEEKDAY($U5,2)&gt;5)</formula>
    </cfRule>
  </conditionalFormatting>
  <conditionalFormatting sqref="W5:X35">
    <cfRule type="expression" priority="34" dxfId="0">
      <formula>AND($W5&lt;&gt;"",COUNTIF(FtGilt,$W5)&gt;0)</formula>
    </cfRule>
    <cfRule type="expression" priority="35" dxfId="1">
      <formula>AND($W5&lt;&gt;"",SUMPRODUCT(FerAktiv*(FerVon&lt;=$W5)*(FerBis&gt;=$W5))&gt;0)</formula>
    </cfRule>
    <cfRule type="expression" priority="36" dxfId="2">
      <formula>AND($W5&lt;&gt;"",WEEKDAY($W5,2)&gt;5)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24">
        <f>"Januar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18" t="inlineStr">
        <is>
          <t>Montag</t>
        </is>
      </c>
      <c r="C4" s="18" t="inlineStr">
        <is>
          <t>Dienstag</t>
        </is>
      </c>
      <c r="D4" s="18" t="inlineStr">
        <is>
          <t>Mittwoch</t>
        </is>
      </c>
      <c r="E4" s="18" t="inlineStr">
        <is>
          <t>Donnerstag</t>
        </is>
      </c>
      <c r="F4" s="18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(DATE(Jahr,1,1)-WEEKDAY(DATE(Jahr,1,1),2)+1)+0</f>
        <v/>
      </c>
      <c r="C5" s="28">
        <f>(DATE(Jahr,1,1)-WEEKDAY(DATE(Jahr,1,1),2)+1)+1</f>
        <v/>
      </c>
      <c r="D5" s="28">
        <f>(DATE(Jahr,1,1)-WEEKDAY(DATE(Jahr,1,1),2)+1)+2</f>
        <v/>
      </c>
      <c r="E5" s="28">
        <f>(DATE(Jahr,1,1)-WEEKDAY(DATE(Jahr,1,1),2)+1)+3</f>
        <v/>
      </c>
      <c r="F5" s="28">
        <f>(DATE(Jahr,1,1)-WEEKDAY(DATE(Jahr,1,1),2)+1)+4</f>
        <v/>
      </c>
      <c r="G5" s="28">
        <f>(DATE(Jahr,1,1)-WEEKDAY(DATE(Jahr,1,1),2)+1)+5</f>
        <v/>
      </c>
      <c r="H5" s="28">
        <f>(DATE(Jahr,1,1)-WEEKDAY(DATE(Jahr,1,1),2)+1)+6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(DATE(Jahr,1,1)-WEEKDAY(DATE(Jahr,1,1),2)+1)+7</f>
        <v/>
      </c>
      <c r="C8" s="28">
        <f>(DATE(Jahr,1,1)-WEEKDAY(DATE(Jahr,1,1),2)+1)+8</f>
        <v/>
      </c>
      <c r="D8" s="28">
        <f>(DATE(Jahr,1,1)-WEEKDAY(DATE(Jahr,1,1),2)+1)+9</f>
        <v/>
      </c>
      <c r="E8" s="28">
        <f>(DATE(Jahr,1,1)-WEEKDAY(DATE(Jahr,1,1),2)+1)+10</f>
        <v/>
      </c>
      <c r="F8" s="28">
        <f>(DATE(Jahr,1,1)-WEEKDAY(DATE(Jahr,1,1),2)+1)+11</f>
        <v/>
      </c>
      <c r="G8" s="28">
        <f>(DATE(Jahr,1,1)-WEEKDAY(DATE(Jahr,1,1),2)+1)+12</f>
        <v/>
      </c>
      <c r="H8" s="28">
        <f>(DATE(Jahr,1,1)-WEEKDAY(DATE(Jahr,1,1),2)+1)+13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(DATE(Jahr,1,1)-WEEKDAY(DATE(Jahr,1,1),2)+1)+14</f>
        <v/>
      </c>
      <c r="C11" s="28">
        <f>(DATE(Jahr,1,1)-WEEKDAY(DATE(Jahr,1,1),2)+1)+15</f>
        <v/>
      </c>
      <c r="D11" s="28">
        <f>(DATE(Jahr,1,1)-WEEKDAY(DATE(Jahr,1,1),2)+1)+16</f>
        <v/>
      </c>
      <c r="E11" s="28">
        <f>(DATE(Jahr,1,1)-WEEKDAY(DATE(Jahr,1,1),2)+1)+17</f>
        <v/>
      </c>
      <c r="F11" s="28">
        <f>(DATE(Jahr,1,1)-WEEKDAY(DATE(Jahr,1,1),2)+1)+18</f>
        <v/>
      </c>
      <c r="G11" s="28">
        <f>(DATE(Jahr,1,1)-WEEKDAY(DATE(Jahr,1,1),2)+1)+19</f>
        <v/>
      </c>
      <c r="H11" s="28">
        <f>(DATE(Jahr,1,1)-WEEKDAY(DATE(Jahr,1,1),2)+1)+20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(DATE(Jahr,1,1)-WEEKDAY(DATE(Jahr,1,1),2)+1)+21</f>
        <v/>
      </c>
      <c r="C14" s="28">
        <f>(DATE(Jahr,1,1)-WEEKDAY(DATE(Jahr,1,1),2)+1)+22</f>
        <v/>
      </c>
      <c r="D14" s="28">
        <f>(DATE(Jahr,1,1)-WEEKDAY(DATE(Jahr,1,1),2)+1)+23</f>
        <v/>
      </c>
      <c r="E14" s="28">
        <f>(DATE(Jahr,1,1)-WEEKDAY(DATE(Jahr,1,1),2)+1)+24</f>
        <v/>
      </c>
      <c r="F14" s="28">
        <f>(DATE(Jahr,1,1)-WEEKDAY(DATE(Jahr,1,1),2)+1)+25</f>
        <v/>
      </c>
      <c r="G14" s="28">
        <f>(DATE(Jahr,1,1)-WEEKDAY(DATE(Jahr,1,1),2)+1)+26</f>
        <v/>
      </c>
      <c r="H14" s="28">
        <f>(DATE(Jahr,1,1)-WEEKDAY(DATE(Jahr,1,1),2)+1)+27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(DATE(Jahr,1,1)-WEEKDAY(DATE(Jahr,1,1),2)+1)+28</f>
        <v/>
      </c>
      <c r="C17" s="28">
        <f>(DATE(Jahr,1,1)-WEEKDAY(DATE(Jahr,1,1),2)+1)+29</f>
        <v/>
      </c>
      <c r="D17" s="28">
        <f>(DATE(Jahr,1,1)-WEEKDAY(DATE(Jahr,1,1),2)+1)+30</f>
        <v/>
      </c>
      <c r="E17" s="28">
        <f>(DATE(Jahr,1,1)-WEEKDAY(DATE(Jahr,1,1),2)+1)+31</f>
        <v/>
      </c>
      <c r="F17" s="28">
        <f>(DATE(Jahr,1,1)-WEEKDAY(DATE(Jahr,1,1),2)+1)+32</f>
        <v/>
      </c>
      <c r="G17" s="28">
        <f>(DATE(Jahr,1,1)-WEEKDAY(DATE(Jahr,1,1),2)+1)+33</f>
        <v/>
      </c>
      <c r="H17" s="28">
        <f>(DATE(Jahr,1,1)-WEEKDAY(DATE(Jahr,1,1),2)+1)+34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(DATE(Jahr,1,1)-WEEKDAY(DATE(Jahr,1,1),2)+1)+35</f>
        <v/>
      </c>
      <c r="C20" s="28">
        <f>(DATE(Jahr,1,1)-WEEKDAY(DATE(Jahr,1,1),2)+1)+36</f>
        <v/>
      </c>
      <c r="D20" s="28">
        <f>(DATE(Jahr,1,1)-WEEKDAY(DATE(Jahr,1,1),2)+1)+37</f>
        <v/>
      </c>
      <c r="E20" s="28">
        <f>(DATE(Jahr,1,1)-WEEKDAY(DATE(Jahr,1,1),2)+1)+38</f>
        <v/>
      </c>
      <c r="F20" s="28">
        <f>(DATE(Jahr,1,1)-WEEKDAY(DATE(Jahr,1,1),2)+1)+39</f>
        <v/>
      </c>
      <c r="G20" s="28">
        <f>(DATE(Jahr,1,1)-WEEKDAY(DATE(Jahr,1,1),2)+1)+40</f>
        <v/>
      </c>
      <c r="H20" s="28">
        <f>(DATE(Jahr,1,1)-WEEKDAY(DATE(Jahr,1,1),2)+1)+41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33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MONTH(B$5)&lt;&gt;1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MONTH(C$5)&lt;&gt;1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MONTH(D$5)&lt;&gt;1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MONTH(E$5)&lt;&gt;1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MONTH(F$5)&lt;&gt;1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MONTH(G$5)&lt;&gt;1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MONTH(H$5)&lt;&gt;1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MONTH(B$8)&lt;&gt;1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MONTH(C$8)&lt;&gt;1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MONTH(D$8)&lt;&gt;1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MONTH(E$8)&lt;&gt;1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MONTH(F$8)&lt;&gt;1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MONTH(G$8)&lt;&gt;1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MONTH(H$8)&lt;&gt;1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MONTH(B$11)&lt;&gt;1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MONTH(C$11)&lt;&gt;1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MONTH(D$11)&lt;&gt;1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MONTH(E$11)&lt;&gt;1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MONTH(F$11)&lt;&gt;1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MONTH(G$11)&lt;&gt;1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MONTH(H$11)&lt;&gt;1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MONTH(B$14)&lt;&gt;1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MONTH(C$14)&lt;&gt;1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MONTH(D$14)&lt;&gt;1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MONTH(E$14)&lt;&gt;1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MONTH(F$14)&lt;&gt;1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MONTH(G$14)&lt;&gt;1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MONTH(H$14)&lt;&gt;1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MONTH(B$17)&lt;&gt;1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MONTH(C$17)&lt;&gt;1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MONTH(D$17)&lt;&gt;1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MONTH(E$17)&lt;&gt;1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MONTH(F$17)&lt;&gt;1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MONTH(G$17)&lt;&gt;1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MONTH(H$17)&lt;&gt;1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MONTH(B$20)&lt;&gt;1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MONTH(C$20)&lt;&gt;1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MONTH(D$20)&lt;&gt;1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MONTH(E$20)&lt;&gt;1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MONTH(F$20)&lt;&gt;1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MONTH(G$20)&lt;&gt;1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MONTH(H$20)&lt;&gt;1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24">
        <f>"Februar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18" t="inlineStr">
        <is>
          <t>Montag</t>
        </is>
      </c>
      <c r="C4" s="18" t="inlineStr">
        <is>
          <t>Dienstag</t>
        </is>
      </c>
      <c r="D4" s="18" t="inlineStr">
        <is>
          <t>Mittwoch</t>
        </is>
      </c>
      <c r="E4" s="18" t="inlineStr">
        <is>
          <t>Donnerstag</t>
        </is>
      </c>
      <c r="F4" s="18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(DATE(Jahr,2,1)-WEEKDAY(DATE(Jahr,2,1),2)+1)+0</f>
        <v/>
      </c>
      <c r="C5" s="28">
        <f>(DATE(Jahr,2,1)-WEEKDAY(DATE(Jahr,2,1),2)+1)+1</f>
        <v/>
      </c>
      <c r="D5" s="28">
        <f>(DATE(Jahr,2,1)-WEEKDAY(DATE(Jahr,2,1),2)+1)+2</f>
        <v/>
      </c>
      <c r="E5" s="28">
        <f>(DATE(Jahr,2,1)-WEEKDAY(DATE(Jahr,2,1),2)+1)+3</f>
        <v/>
      </c>
      <c r="F5" s="28">
        <f>(DATE(Jahr,2,1)-WEEKDAY(DATE(Jahr,2,1),2)+1)+4</f>
        <v/>
      </c>
      <c r="G5" s="28">
        <f>(DATE(Jahr,2,1)-WEEKDAY(DATE(Jahr,2,1),2)+1)+5</f>
        <v/>
      </c>
      <c r="H5" s="28">
        <f>(DATE(Jahr,2,1)-WEEKDAY(DATE(Jahr,2,1),2)+1)+6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(DATE(Jahr,2,1)-WEEKDAY(DATE(Jahr,2,1),2)+1)+7</f>
        <v/>
      </c>
      <c r="C8" s="28">
        <f>(DATE(Jahr,2,1)-WEEKDAY(DATE(Jahr,2,1),2)+1)+8</f>
        <v/>
      </c>
      <c r="D8" s="28">
        <f>(DATE(Jahr,2,1)-WEEKDAY(DATE(Jahr,2,1),2)+1)+9</f>
        <v/>
      </c>
      <c r="E8" s="28">
        <f>(DATE(Jahr,2,1)-WEEKDAY(DATE(Jahr,2,1),2)+1)+10</f>
        <v/>
      </c>
      <c r="F8" s="28">
        <f>(DATE(Jahr,2,1)-WEEKDAY(DATE(Jahr,2,1),2)+1)+11</f>
        <v/>
      </c>
      <c r="G8" s="28">
        <f>(DATE(Jahr,2,1)-WEEKDAY(DATE(Jahr,2,1),2)+1)+12</f>
        <v/>
      </c>
      <c r="H8" s="28">
        <f>(DATE(Jahr,2,1)-WEEKDAY(DATE(Jahr,2,1),2)+1)+13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(DATE(Jahr,2,1)-WEEKDAY(DATE(Jahr,2,1),2)+1)+14</f>
        <v/>
      </c>
      <c r="C11" s="28">
        <f>(DATE(Jahr,2,1)-WEEKDAY(DATE(Jahr,2,1),2)+1)+15</f>
        <v/>
      </c>
      <c r="D11" s="28">
        <f>(DATE(Jahr,2,1)-WEEKDAY(DATE(Jahr,2,1),2)+1)+16</f>
        <v/>
      </c>
      <c r="E11" s="28">
        <f>(DATE(Jahr,2,1)-WEEKDAY(DATE(Jahr,2,1),2)+1)+17</f>
        <v/>
      </c>
      <c r="F11" s="28">
        <f>(DATE(Jahr,2,1)-WEEKDAY(DATE(Jahr,2,1),2)+1)+18</f>
        <v/>
      </c>
      <c r="G11" s="28">
        <f>(DATE(Jahr,2,1)-WEEKDAY(DATE(Jahr,2,1),2)+1)+19</f>
        <v/>
      </c>
      <c r="H11" s="28">
        <f>(DATE(Jahr,2,1)-WEEKDAY(DATE(Jahr,2,1),2)+1)+20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(DATE(Jahr,2,1)-WEEKDAY(DATE(Jahr,2,1),2)+1)+21</f>
        <v/>
      </c>
      <c r="C14" s="28">
        <f>(DATE(Jahr,2,1)-WEEKDAY(DATE(Jahr,2,1),2)+1)+22</f>
        <v/>
      </c>
      <c r="D14" s="28">
        <f>(DATE(Jahr,2,1)-WEEKDAY(DATE(Jahr,2,1),2)+1)+23</f>
        <v/>
      </c>
      <c r="E14" s="28">
        <f>(DATE(Jahr,2,1)-WEEKDAY(DATE(Jahr,2,1),2)+1)+24</f>
        <v/>
      </c>
      <c r="F14" s="28">
        <f>(DATE(Jahr,2,1)-WEEKDAY(DATE(Jahr,2,1),2)+1)+25</f>
        <v/>
      </c>
      <c r="G14" s="28">
        <f>(DATE(Jahr,2,1)-WEEKDAY(DATE(Jahr,2,1),2)+1)+26</f>
        <v/>
      </c>
      <c r="H14" s="28">
        <f>(DATE(Jahr,2,1)-WEEKDAY(DATE(Jahr,2,1),2)+1)+27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(DATE(Jahr,2,1)-WEEKDAY(DATE(Jahr,2,1),2)+1)+28</f>
        <v/>
      </c>
      <c r="C17" s="28">
        <f>(DATE(Jahr,2,1)-WEEKDAY(DATE(Jahr,2,1),2)+1)+29</f>
        <v/>
      </c>
      <c r="D17" s="28">
        <f>(DATE(Jahr,2,1)-WEEKDAY(DATE(Jahr,2,1),2)+1)+30</f>
        <v/>
      </c>
      <c r="E17" s="28">
        <f>(DATE(Jahr,2,1)-WEEKDAY(DATE(Jahr,2,1),2)+1)+31</f>
        <v/>
      </c>
      <c r="F17" s="28">
        <f>(DATE(Jahr,2,1)-WEEKDAY(DATE(Jahr,2,1),2)+1)+32</f>
        <v/>
      </c>
      <c r="G17" s="28">
        <f>(DATE(Jahr,2,1)-WEEKDAY(DATE(Jahr,2,1),2)+1)+33</f>
        <v/>
      </c>
      <c r="H17" s="28">
        <f>(DATE(Jahr,2,1)-WEEKDAY(DATE(Jahr,2,1),2)+1)+34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(DATE(Jahr,2,1)-WEEKDAY(DATE(Jahr,2,1),2)+1)+35</f>
        <v/>
      </c>
      <c r="C20" s="28">
        <f>(DATE(Jahr,2,1)-WEEKDAY(DATE(Jahr,2,1),2)+1)+36</f>
        <v/>
      </c>
      <c r="D20" s="28">
        <f>(DATE(Jahr,2,1)-WEEKDAY(DATE(Jahr,2,1),2)+1)+37</f>
        <v/>
      </c>
      <c r="E20" s="28">
        <f>(DATE(Jahr,2,1)-WEEKDAY(DATE(Jahr,2,1),2)+1)+38</f>
        <v/>
      </c>
      <c r="F20" s="28">
        <f>(DATE(Jahr,2,1)-WEEKDAY(DATE(Jahr,2,1),2)+1)+39</f>
        <v/>
      </c>
      <c r="G20" s="28">
        <f>(DATE(Jahr,2,1)-WEEKDAY(DATE(Jahr,2,1),2)+1)+40</f>
        <v/>
      </c>
      <c r="H20" s="28">
        <f>(DATE(Jahr,2,1)-WEEKDAY(DATE(Jahr,2,1),2)+1)+41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33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MONTH(B$5)&lt;&gt;2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MONTH(C$5)&lt;&gt;2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MONTH(D$5)&lt;&gt;2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MONTH(E$5)&lt;&gt;2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MONTH(F$5)&lt;&gt;2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MONTH(G$5)&lt;&gt;2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MONTH(H$5)&lt;&gt;2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MONTH(B$8)&lt;&gt;2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MONTH(C$8)&lt;&gt;2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MONTH(D$8)&lt;&gt;2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MONTH(E$8)&lt;&gt;2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MONTH(F$8)&lt;&gt;2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MONTH(G$8)&lt;&gt;2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MONTH(H$8)&lt;&gt;2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MONTH(B$11)&lt;&gt;2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MONTH(C$11)&lt;&gt;2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MONTH(D$11)&lt;&gt;2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MONTH(E$11)&lt;&gt;2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MONTH(F$11)&lt;&gt;2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MONTH(G$11)&lt;&gt;2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MONTH(H$11)&lt;&gt;2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MONTH(B$14)&lt;&gt;2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MONTH(C$14)&lt;&gt;2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MONTH(D$14)&lt;&gt;2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MONTH(E$14)&lt;&gt;2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MONTH(F$14)&lt;&gt;2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MONTH(G$14)&lt;&gt;2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MONTH(H$14)&lt;&gt;2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MONTH(B$17)&lt;&gt;2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MONTH(C$17)&lt;&gt;2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MONTH(D$17)&lt;&gt;2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MONTH(E$17)&lt;&gt;2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MONTH(F$17)&lt;&gt;2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MONTH(G$17)&lt;&gt;2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MONTH(H$17)&lt;&gt;2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MONTH(B$20)&lt;&gt;2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MONTH(C$20)&lt;&gt;2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MONTH(D$20)&lt;&gt;2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MONTH(E$20)&lt;&gt;2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MONTH(F$20)&lt;&gt;2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MONTH(G$20)&lt;&gt;2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MONTH(H$20)&lt;&gt;2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35">
        <f>"März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19" t="inlineStr">
        <is>
          <t>Montag</t>
        </is>
      </c>
      <c r="C4" s="19" t="inlineStr">
        <is>
          <t>Dienstag</t>
        </is>
      </c>
      <c r="D4" s="19" t="inlineStr">
        <is>
          <t>Mittwoch</t>
        </is>
      </c>
      <c r="E4" s="19" t="inlineStr">
        <is>
          <t>Donnerstag</t>
        </is>
      </c>
      <c r="F4" s="19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(DATE(Jahr,3,1)-WEEKDAY(DATE(Jahr,3,1),2)+1)+0</f>
        <v/>
      </c>
      <c r="C5" s="28">
        <f>(DATE(Jahr,3,1)-WEEKDAY(DATE(Jahr,3,1),2)+1)+1</f>
        <v/>
      </c>
      <c r="D5" s="28">
        <f>(DATE(Jahr,3,1)-WEEKDAY(DATE(Jahr,3,1),2)+1)+2</f>
        <v/>
      </c>
      <c r="E5" s="28">
        <f>(DATE(Jahr,3,1)-WEEKDAY(DATE(Jahr,3,1),2)+1)+3</f>
        <v/>
      </c>
      <c r="F5" s="28">
        <f>(DATE(Jahr,3,1)-WEEKDAY(DATE(Jahr,3,1),2)+1)+4</f>
        <v/>
      </c>
      <c r="G5" s="28">
        <f>(DATE(Jahr,3,1)-WEEKDAY(DATE(Jahr,3,1),2)+1)+5</f>
        <v/>
      </c>
      <c r="H5" s="28">
        <f>(DATE(Jahr,3,1)-WEEKDAY(DATE(Jahr,3,1),2)+1)+6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(DATE(Jahr,3,1)-WEEKDAY(DATE(Jahr,3,1),2)+1)+7</f>
        <v/>
      </c>
      <c r="C8" s="28">
        <f>(DATE(Jahr,3,1)-WEEKDAY(DATE(Jahr,3,1),2)+1)+8</f>
        <v/>
      </c>
      <c r="D8" s="28">
        <f>(DATE(Jahr,3,1)-WEEKDAY(DATE(Jahr,3,1),2)+1)+9</f>
        <v/>
      </c>
      <c r="E8" s="28">
        <f>(DATE(Jahr,3,1)-WEEKDAY(DATE(Jahr,3,1),2)+1)+10</f>
        <v/>
      </c>
      <c r="F8" s="28">
        <f>(DATE(Jahr,3,1)-WEEKDAY(DATE(Jahr,3,1),2)+1)+11</f>
        <v/>
      </c>
      <c r="G8" s="28">
        <f>(DATE(Jahr,3,1)-WEEKDAY(DATE(Jahr,3,1),2)+1)+12</f>
        <v/>
      </c>
      <c r="H8" s="28">
        <f>(DATE(Jahr,3,1)-WEEKDAY(DATE(Jahr,3,1),2)+1)+13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(DATE(Jahr,3,1)-WEEKDAY(DATE(Jahr,3,1),2)+1)+14</f>
        <v/>
      </c>
      <c r="C11" s="28">
        <f>(DATE(Jahr,3,1)-WEEKDAY(DATE(Jahr,3,1),2)+1)+15</f>
        <v/>
      </c>
      <c r="D11" s="28">
        <f>(DATE(Jahr,3,1)-WEEKDAY(DATE(Jahr,3,1),2)+1)+16</f>
        <v/>
      </c>
      <c r="E11" s="28">
        <f>(DATE(Jahr,3,1)-WEEKDAY(DATE(Jahr,3,1),2)+1)+17</f>
        <v/>
      </c>
      <c r="F11" s="28">
        <f>(DATE(Jahr,3,1)-WEEKDAY(DATE(Jahr,3,1),2)+1)+18</f>
        <v/>
      </c>
      <c r="G11" s="28">
        <f>(DATE(Jahr,3,1)-WEEKDAY(DATE(Jahr,3,1),2)+1)+19</f>
        <v/>
      </c>
      <c r="H11" s="28">
        <f>(DATE(Jahr,3,1)-WEEKDAY(DATE(Jahr,3,1),2)+1)+20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(DATE(Jahr,3,1)-WEEKDAY(DATE(Jahr,3,1),2)+1)+21</f>
        <v/>
      </c>
      <c r="C14" s="28">
        <f>(DATE(Jahr,3,1)-WEEKDAY(DATE(Jahr,3,1),2)+1)+22</f>
        <v/>
      </c>
      <c r="D14" s="28">
        <f>(DATE(Jahr,3,1)-WEEKDAY(DATE(Jahr,3,1),2)+1)+23</f>
        <v/>
      </c>
      <c r="E14" s="28">
        <f>(DATE(Jahr,3,1)-WEEKDAY(DATE(Jahr,3,1),2)+1)+24</f>
        <v/>
      </c>
      <c r="F14" s="28">
        <f>(DATE(Jahr,3,1)-WEEKDAY(DATE(Jahr,3,1),2)+1)+25</f>
        <v/>
      </c>
      <c r="G14" s="28">
        <f>(DATE(Jahr,3,1)-WEEKDAY(DATE(Jahr,3,1),2)+1)+26</f>
        <v/>
      </c>
      <c r="H14" s="28">
        <f>(DATE(Jahr,3,1)-WEEKDAY(DATE(Jahr,3,1),2)+1)+27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(DATE(Jahr,3,1)-WEEKDAY(DATE(Jahr,3,1),2)+1)+28</f>
        <v/>
      </c>
      <c r="C17" s="28">
        <f>(DATE(Jahr,3,1)-WEEKDAY(DATE(Jahr,3,1),2)+1)+29</f>
        <v/>
      </c>
      <c r="D17" s="28">
        <f>(DATE(Jahr,3,1)-WEEKDAY(DATE(Jahr,3,1),2)+1)+30</f>
        <v/>
      </c>
      <c r="E17" s="28">
        <f>(DATE(Jahr,3,1)-WEEKDAY(DATE(Jahr,3,1),2)+1)+31</f>
        <v/>
      </c>
      <c r="F17" s="28">
        <f>(DATE(Jahr,3,1)-WEEKDAY(DATE(Jahr,3,1),2)+1)+32</f>
        <v/>
      </c>
      <c r="G17" s="28">
        <f>(DATE(Jahr,3,1)-WEEKDAY(DATE(Jahr,3,1),2)+1)+33</f>
        <v/>
      </c>
      <c r="H17" s="28">
        <f>(DATE(Jahr,3,1)-WEEKDAY(DATE(Jahr,3,1),2)+1)+34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(DATE(Jahr,3,1)-WEEKDAY(DATE(Jahr,3,1),2)+1)+35</f>
        <v/>
      </c>
      <c r="C20" s="28">
        <f>(DATE(Jahr,3,1)-WEEKDAY(DATE(Jahr,3,1),2)+1)+36</f>
        <v/>
      </c>
      <c r="D20" s="28">
        <f>(DATE(Jahr,3,1)-WEEKDAY(DATE(Jahr,3,1),2)+1)+37</f>
        <v/>
      </c>
      <c r="E20" s="28">
        <f>(DATE(Jahr,3,1)-WEEKDAY(DATE(Jahr,3,1),2)+1)+38</f>
        <v/>
      </c>
      <c r="F20" s="28">
        <f>(DATE(Jahr,3,1)-WEEKDAY(DATE(Jahr,3,1),2)+1)+39</f>
        <v/>
      </c>
      <c r="G20" s="28">
        <f>(DATE(Jahr,3,1)-WEEKDAY(DATE(Jahr,3,1),2)+1)+40</f>
        <v/>
      </c>
      <c r="H20" s="28">
        <f>(DATE(Jahr,3,1)-WEEKDAY(DATE(Jahr,3,1),2)+1)+41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36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MONTH(B$5)&lt;&gt;3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MONTH(C$5)&lt;&gt;3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MONTH(D$5)&lt;&gt;3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MONTH(E$5)&lt;&gt;3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MONTH(F$5)&lt;&gt;3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MONTH(G$5)&lt;&gt;3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MONTH(H$5)&lt;&gt;3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MONTH(B$8)&lt;&gt;3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MONTH(C$8)&lt;&gt;3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MONTH(D$8)&lt;&gt;3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MONTH(E$8)&lt;&gt;3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MONTH(F$8)&lt;&gt;3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MONTH(G$8)&lt;&gt;3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MONTH(H$8)&lt;&gt;3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MONTH(B$11)&lt;&gt;3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MONTH(C$11)&lt;&gt;3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MONTH(D$11)&lt;&gt;3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MONTH(E$11)&lt;&gt;3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MONTH(F$11)&lt;&gt;3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MONTH(G$11)&lt;&gt;3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MONTH(H$11)&lt;&gt;3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MONTH(B$14)&lt;&gt;3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MONTH(C$14)&lt;&gt;3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MONTH(D$14)&lt;&gt;3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MONTH(E$14)&lt;&gt;3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MONTH(F$14)&lt;&gt;3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MONTH(G$14)&lt;&gt;3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MONTH(H$14)&lt;&gt;3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MONTH(B$17)&lt;&gt;3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MONTH(C$17)&lt;&gt;3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MONTH(D$17)&lt;&gt;3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MONTH(E$17)&lt;&gt;3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MONTH(F$17)&lt;&gt;3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MONTH(G$17)&lt;&gt;3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MONTH(H$17)&lt;&gt;3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MONTH(B$20)&lt;&gt;3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MONTH(C$20)&lt;&gt;3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MONTH(D$20)&lt;&gt;3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MONTH(E$20)&lt;&gt;3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MONTH(F$20)&lt;&gt;3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MONTH(G$20)&lt;&gt;3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MONTH(H$20)&lt;&gt;3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35">
        <f>"April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19" t="inlineStr">
        <is>
          <t>Montag</t>
        </is>
      </c>
      <c r="C4" s="19" t="inlineStr">
        <is>
          <t>Dienstag</t>
        </is>
      </c>
      <c r="D4" s="19" t="inlineStr">
        <is>
          <t>Mittwoch</t>
        </is>
      </c>
      <c r="E4" s="19" t="inlineStr">
        <is>
          <t>Donnerstag</t>
        </is>
      </c>
      <c r="F4" s="19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(DATE(Jahr,4,1)-WEEKDAY(DATE(Jahr,4,1),2)+1)+0</f>
        <v/>
      </c>
      <c r="C5" s="28">
        <f>(DATE(Jahr,4,1)-WEEKDAY(DATE(Jahr,4,1),2)+1)+1</f>
        <v/>
      </c>
      <c r="D5" s="28">
        <f>(DATE(Jahr,4,1)-WEEKDAY(DATE(Jahr,4,1),2)+1)+2</f>
        <v/>
      </c>
      <c r="E5" s="28">
        <f>(DATE(Jahr,4,1)-WEEKDAY(DATE(Jahr,4,1),2)+1)+3</f>
        <v/>
      </c>
      <c r="F5" s="28">
        <f>(DATE(Jahr,4,1)-WEEKDAY(DATE(Jahr,4,1),2)+1)+4</f>
        <v/>
      </c>
      <c r="G5" s="28">
        <f>(DATE(Jahr,4,1)-WEEKDAY(DATE(Jahr,4,1),2)+1)+5</f>
        <v/>
      </c>
      <c r="H5" s="28">
        <f>(DATE(Jahr,4,1)-WEEKDAY(DATE(Jahr,4,1),2)+1)+6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(DATE(Jahr,4,1)-WEEKDAY(DATE(Jahr,4,1),2)+1)+7</f>
        <v/>
      </c>
      <c r="C8" s="28">
        <f>(DATE(Jahr,4,1)-WEEKDAY(DATE(Jahr,4,1),2)+1)+8</f>
        <v/>
      </c>
      <c r="D8" s="28">
        <f>(DATE(Jahr,4,1)-WEEKDAY(DATE(Jahr,4,1),2)+1)+9</f>
        <v/>
      </c>
      <c r="E8" s="28">
        <f>(DATE(Jahr,4,1)-WEEKDAY(DATE(Jahr,4,1),2)+1)+10</f>
        <v/>
      </c>
      <c r="F8" s="28">
        <f>(DATE(Jahr,4,1)-WEEKDAY(DATE(Jahr,4,1),2)+1)+11</f>
        <v/>
      </c>
      <c r="G8" s="28">
        <f>(DATE(Jahr,4,1)-WEEKDAY(DATE(Jahr,4,1),2)+1)+12</f>
        <v/>
      </c>
      <c r="H8" s="28">
        <f>(DATE(Jahr,4,1)-WEEKDAY(DATE(Jahr,4,1),2)+1)+13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(DATE(Jahr,4,1)-WEEKDAY(DATE(Jahr,4,1),2)+1)+14</f>
        <v/>
      </c>
      <c r="C11" s="28">
        <f>(DATE(Jahr,4,1)-WEEKDAY(DATE(Jahr,4,1),2)+1)+15</f>
        <v/>
      </c>
      <c r="D11" s="28">
        <f>(DATE(Jahr,4,1)-WEEKDAY(DATE(Jahr,4,1),2)+1)+16</f>
        <v/>
      </c>
      <c r="E11" s="28">
        <f>(DATE(Jahr,4,1)-WEEKDAY(DATE(Jahr,4,1),2)+1)+17</f>
        <v/>
      </c>
      <c r="F11" s="28">
        <f>(DATE(Jahr,4,1)-WEEKDAY(DATE(Jahr,4,1),2)+1)+18</f>
        <v/>
      </c>
      <c r="G11" s="28">
        <f>(DATE(Jahr,4,1)-WEEKDAY(DATE(Jahr,4,1),2)+1)+19</f>
        <v/>
      </c>
      <c r="H11" s="28">
        <f>(DATE(Jahr,4,1)-WEEKDAY(DATE(Jahr,4,1),2)+1)+20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(DATE(Jahr,4,1)-WEEKDAY(DATE(Jahr,4,1),2)+1)+21</f>
        <v/>
      </c>
      <c r="C14" s="28">
        <f>(DATE(Jahr,4,1)-WEEKDAY(DATE(Jahr,4,1),2)+1)+22</f>
        <v/>
      </c>
      <c r="D14" s="28">
        <f>(DATE(Jahr,4,1)-WEEKDAY(DATE(Jahr,4,1),2)+1)+23</f>
        <v/>
      </c>
      <c r="E14" s="28">
        <f>(DATE(Jahr,4,1)-WEEKDAY(DATE(Jahr,4,1),2)+1)+24</f>
        <v/>
      </c>
      <c r="F14" s="28">
        <f>(DATE(Jahr,4,1)-WEEKDAY(DATE(Jahr,4,1),2)+1)+25</f>
        <v/>
      </c>
      <c r="G14" s="28">
        <f>(DATE(Jahr,4,1)-WEEKDAY(DATE(Jahr,4,1),2)+1)+26</f>
        <v/>
      </c>
      <c r="H14" s="28">
        <f>(DATE(Jahr,4,1)-WEEKDAY(DATE(Jahr,4,1),2)+1)+27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(DATE(Jahr,4,1)-WEEKDAY(DATE(Jahr,4,1),2)+1)+28</f>
        <v/>
      </c>
      <c r="C17" s="28">
        <f>(DATE(Jahr,4,1)-WEEKDAY(DATE(Jahr,4,1),2)+1)+29</f>
        <v/>
      </c>
      <c r="D17" s="28">
        <f>(DATE(Jahr,4,1)-WEEKDAY(DATE(Jahr,4,1),2)+1)+30</f>
        <v/>
      </c>
      <c r="E17" s="28">
        <f>(DATE(Jahr,4,1)-WEEKDAY(DATE(Jahr,4,1),2)+1)+31</f>
        <v/>
      </c>
      <c r="F17" s="28">
        <f>(DATE(Jahr,4,1)-WEEKDAY(DATE(Jahr,4,1),2)+1)+32</f>
        <v/>
      </c>
      <c r="G17" s="28">
        <f>(DATE(Jahr,4,1)-WEEKDAY(DATE(Jahr,4,1),2)+1)+33</f>
        <v/>
      </c>
      <c r="H17" s="28">
        <f>(DATE(Jahr,4,1)-WEEKDAY(DATE(Jahr,4,1),2)+1)+34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(DATE(Jahr,4,1)-WEEKDAY(DATE(Jahr,4,1),2)+1)+35</f>
        <v/>
      </c>
      <c r="C20" s="28">
        <f>(DATE(Jahr,4,1)-WEEKDAY(DATE(Jahr,4,1),2)+1)+36</f>
        <v/>
      </c>
      <c r="D20" s="28">
        <f>(DATE(Jahr,4,1)-WEEKDAY(DATE(Jahr,4,1),2)+1)+37</f>
        <v/>
      </c>
      <c r="E20" s="28">
        <f>(DATE(Jahr,4,1)-WEEKDAY(DATE(Jahr,4,1),2)+1)+38</f>
        <v/>
      </c>
      <c r="F20" s="28">
        <f>(DATE(Jahr,4,1)-WEEKDAY(DATE(Jahr,4,1),2)+1)+39</f>
        <v/>
      </c>
      <c r="G20" s="28">
        <f>(DATE(Jahr,4,1)-WEEKDAY(DATE(Jahr,4,1),2)+1)+40</f>
        <v/>
      </c>
      <c r="H20" s="28">
        <f>(DATE(Jahr,4,1)-WEEKDAY(DATE(Jahr,4,1),2)+1)+41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36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MONTH(B$5)&lt;&gt;4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MONTH(C$5)&lt;&gt;4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MONTH(D$5)&lt;&gt;4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MONTH(E$5)&lt;&gt;4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MONTH(F$5)&lt;&gt;4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MONTH(G$5)&lt;&gt;4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MONTH(H$5)&lt;&gt;4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MONTH(B$8)&lt;&gt;4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MONTH(C$8)&lt;&gt;4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MONTH(D$8)&lt;&gt;4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MONTH(E$8)&lt;&gt;4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MONTH(F$8)&lt;&gt;4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MONTH(G$8)&lt;&gt;4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MONTH(H$8)&lt;&gt;4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MONTH(B$11)&lt;&gt;4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MONTH(C$11)&lt;&gt;4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MONTH(D$11)&lt;&gt;4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MONTH(E$11)&lt;&gt;4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MONTH(F$11)&lt;&gt;4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MONTH(G$11)&lt;&gt;4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MONTH(H$11)&lt;&gt;4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MONTH(B$14)&lt;&gt;4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MONTH(C$14)&lt;&gt;4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MONTH(D$14)&lt;&gt;4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MONTH(E$14)&lt;&gt;4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MONTH(F$14)&lt;&gt;4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MONTH(G$14)&lt;&gt;4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MONTH(H$14)&lt;&gt;4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MONTH(B$17)&lt;&gt;4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MONTH(C$17)&lt;&gt;4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MONTH(D$17)&lt;&gt;4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MONTH(E$17)&lt;&gt;4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MONTH(F$17)&lt;&gt;4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MONTH(G$17)&lt;&gt;4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MONTH(H$17)&lt;&gt;4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MONTH(B$20)&lt;&gt;4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MONTH(C$20)&lt;&gt;4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MONTH(D$20)&lt;&gt;4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MONTH(E$20)&lt;&gt;4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MONTH(F$20)&lt;&gt;4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MONTH(G$20)&lt;&gt;4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MONTH(H$20)&lt;&gt;4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35">
        <f>"Mai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19" t="inlineStr">
        <is>
          <t>Montag</t>
        </is>
      </c>
      <c r="C4" s="19" t="inlineStr">
        <is>
          <t>Dienstag</t>
        </is>
      </c>
      <c r="D4" s="19" t="inlineStr">
        <is>
          <t>Mittwoch</t>
        </is>
      </c>
      <c r="E4" s="19" t="inlineStr">
        <is>
          <t>Donnerstag</t>
        </is>
      </c>
      <c r="F4" s="19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(DATE(Jahr,5,1)-WEEKDAY(DATE(Jahr,5,1),2)+1)+0</f>
        <v/>
      </c>
      <c r="C5" s="28">
        <f>(DATE(Jahr,5,1)-WEEKDAY(DATE(Jahr,5,1),2)+1)+1</f>
        <v/>
      </c>
      <c r="D5" s="28">
        <f>(DATE(Jahr,5,1)-WEEKDAY(DATE(Jahr,5,1),2)+1)+2</f>
        <v/>
      </c>
      <c r="E5" s="28">
        <f>(DATE(Jahr,5,1)-WEEKDAY(DATE(Jahr,5,1),2)+1)+3</f>
        <v/>
      </c>
      <c r="F5" s="28">
        <f>(DATE(Jahr,5,1)-WEEKDAY(DATE(Jahr,5,1),2)+1)+4</f>
        <v/>
      </c>
      <c r="G5" s="28">
        <f>(DATE(Jahr,5,1)-WEEKDAY(DATE(Jahr,5,1),2)+1)+5</f>
        <v/>
      </c>
      <c r="H5" s="28">
        <f>(DATE(Jahr,5,1)-WEEKDAY(DATE(Jahr,5,1),2)+1)+6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(DATE(Jahr,5,1)-WEEKDAY(DATE(Jahr,5,1),2)+1)+7</f>
        <v/>
      </c>
      <c r="C8" s="28">
        <f>(DATE(Jahr,5,1)-WEEKDAY(DATE(Jahr,5,1),2)+1)+8</f>
        <v/>
      </c>
      <c r="D8" s="28">
        <f>(DATE(Jahr,5,1)-WEEKDAY(DATE(Jahr,5,1),2)+1)+9</f>
        <v/>
      </c>
      <c r="E8" s="28">
        <f>(DATE(Jahr,5,1)-WEEKDAY(DATE(Jahr,5,1),2)+1)+10</f>
        <v/>
      </c>
      <c r="F8" s="28">
        <f>(DATE(Jahr,5,1)-WEEKDAY(DATE(Jahr,5,1),2)+1)+11</f>
        <v/>
      </c>
      <c r="G8" s="28">
        <f>(DATE(Jahr,5,1)-WEEKDAY(DATE(Jahr,5,1),2)+1)+12</f>
        <v/>
      </c>
      <c r="H8" s="28">
        <f>(DATE(Jahr,5,1)-WEEKDAY(DATE(Jahr,5,1),2)+1)+13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(DATE(Jahr,5,1)-WEEKDAY(DATE(Jahr,5,1),2)+1)+14</f>
        <v/>
      </c>
      <c r="C11" s="28">
        <f>(DATE(Jahr,5,1)-WEEKDAY(DATE(Jahr,5,1),2)+1)+15</f>
        <v/>
      </c>
      <c r="D11" s="28">
        <f>(DATE(Jahr,5,1)-WEEKDAY(DATE(Jahr,5,1),2)+1)+16</f>
        <v/>
      </c>
      <c r="E11" s="28">
        <f>(DATE(Jahr,5,1)-WEEKDAY(DATE(Jahr,5,1),2)+1)+17</f>
        <v/>
      </c>
      <c r="F11" s="28">
        <f>(DATE(Jahr,5,1)-WEEKDAY(DATE(Jahr,5,1),2)+1)+18</f>
        <v/>
      </c>
      <c r="G11" s="28">
        <f>(DATE(Jahr,5,1)-WEEKDAY(DATE(Jahr,5,1),2)+1)+19</f>
        <v/>
      </c>
      <c r="H11" s="28">
        <f>(DATE(Jahr,5,1)-WEEKDAY(DATE(Jahr,5,1),2)+1)+20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(DATE(Jahr,5,1)-WEEKDAY(DATE(Jahr,5,1),2)+1)+21</f>
        <v/>
      </c>
      <c r="C14" s="28">
        <f>(DATE(Jahr,5,1)-WEEKDAY(DATE(Jahr,5,1),2)+1)+22</f>
        <v/>
      </c>
      <c r="D14" s="28">
        <f>(DATE(Jahr,5,1)-WEEKDAY(DATE(Jahr,5,1),2)+1)+23</f>
        <v/>
      </c>
      <c r="E14" s="28">
        <f>(DATE(Jahr,5,1)-WEEKDAY(DATE(Jahr,5,1),2)+1)+24</f>
        <v/>
      </c>
      <c r="F14" s="28">
        <f>(DATE(Jahr,5,1)-WEEKDAY(DATE(Jahr,5,1),2)+1)+25</f>
        <v/>
      </c>
      <c r="G14" s="28">
        <f>(DATE(Jahr,5,1)-WEEKDAY(DATE(Jahr,5,1),2)+1)+26</f>
        <v/>
      </c>
      <c r="H14" s="28">
        <f>(DATE(Jahr,5,1)-WEEKDAY(DATE(Jahr,5,1),2)+1)+27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(DATE(Jahr,5,1)-WEEKDAY(DATE(Jahr,5,1),2)+1)+28</f>
        <v/>
      </c>
      <c r="C17" s="28">
        <f>(DATE(Jahr,5,1)-WEEKDAY(DATE(Jahr,5,1),2)+1)+29</f>
        <v/>
      </c>
      <c r="D17" s="28">
        <f>(DATE(Jahr,5,1)-WEEKDAY(DATE(Jahr,5,1),2)+1)+30</f>
        <v/>
      </c>
      <c r="E17" s="28">
        <f>(DATE(Jahr,5,1)-WEEKDAY(DATE(Jahr,5,1),2)+1)+31</f>
        <v/>
      </c>
      <c r="F17" s="28">
        <f>(DATE(Jahr,5,1)-WEEKDAY(DATE(Jahr,5,1),2)+1)+32</f>
        <v/>
      </c>
      <c r="G17" s="28">
        <f>(DATE(Jahr,5,1)-WEEKDAY(DATE(Jahr,5,1),2)+1)+33</f>
        <v/>
      </c>
      <c r="H17" s="28">
        <f>(DATE(Jahr,5,1)-WEEKDAY(DATE(Jahr,5,1),2)+1)+34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(DATE(Jahr,5,1)-WEEKDAY(DATE(Jahr,5,1),2)+1)+35</f>
        <v/>
      </c>
      <c r="C20" s="28">
        <f>(DATE(Jahr,5,1)-WEEKDAY(DATE(Jahr,5,1),2)+1)+36</f>
        <v/>
      </c>
      <c r="D20" s="28">
        <f>(DATE(Jahr,5,1)-WEEKDAY(DATE(Jahr,5,1),2)+1)+37</f>
        <v/>
      </c>
      <c r="E20" s="28">
        <f>(DATE(Jahr,5,1)-WEEKDAY(DATE(Jahr,5,1),2)+1)+38</f>
        <v/>
      </c>
      <c r="F20" s="28">
        <f>(DATE(Jahr,5,1)-WEEKDAY(DATE(Jahr,5,1),2)+1)+39</f>
        <v/>
      </c>
      <c r="G20" s="28">
        <f>(DATE(Jahr,5,1)-WEEKDAY(DATE(Jahr,5,1),2)+1)+40</f>
        <v/>
      </c>
      <c r="H20" s="28">
        <f>(DATE(Jahr,5,1)-WEEKDAY(DATE(Jahr,5,1),2)+1)+41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36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MONTH(B$5)&lt;&gt;5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MONTH(C$5)&lt;&gt;5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MONTH(D$5)&lt;&gt;5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MONTH(E$5)&lt;&gt;5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MONTH(F$5)&lt;&gt;5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MONTH(G$5)&lt;&gt;5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MONTH(H$5)&lt;&gt;5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MONTH(B$8)&lt;&gt;5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MONTH(C$8)&lt;&gt;5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MONTH(D$8)&lt;&gt;5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MONTH(E$8)&lt;&gt;5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MONTH(F$8)&lt;&gt;5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MONTH(G$8)&lt;&gt;5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MONTH(H$8)&lt;&gt;5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MONTH(B$11)&lt;&gt;5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MONTH(C$11)&lt;&gt;5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MONTH(D$11)&lt;&gt;5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MONTH(E$11)&lt;&gt;5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MONTH(F$11)&lt;&gt;5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MONTH(G$11)&lt;&gt;5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MONTH(H$11)&lt;&gt;5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MONTH(B$14)&lt;&gt;5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MONTH(C$14)&lt;&gt;5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MONTH(D$14)&lt;&gt;5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MONTH(E$14)&lt;&gt;5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MONTH(F$14)&lt;&gt;5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MONTH(G$14)&lt;&gt;5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MONTH(H$14)&lt;&gt;5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MONTH(B$17)&lt;&gt;5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MONTH(C$17)&lt;&gt;5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MONTH(D$17)&lt;&gt;5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MONTH(E$17)&lt;&gt;5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MONTH(F$17)&lt;&gt;5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MONTH(G$17)&lt;&gt;5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MONTH(H$17)&lt;&gt;5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MONTH(B$20)&lt;&gt;5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MONTH(C$20)&lt;&gt;5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MONTH(D$20)&lt;&gt;5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MONTH(E$20)&lt;&gt;5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MONTH(F$20)&lt;&gt;5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MONTH(G$20)&lt;&gt;5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MONTH(H$20)&lt;&gt;5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37">
        <f>"Juni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20" t="inlineStr">
        <is>
          <t>Montag</t>
        </is>
      </c>
      <c r="C4" s="20" t="inlineStr">
        <is>
          <t>Dienstag</t>
        </is>
      </c>
      <c r="D4" s="20" t="inlineStr">
        <is>
          <t>Mittwoch</t>
        </is>
      </c>
      <c r="E4" s="20" t="inlineStr">
        <is>
          <t>Donnerstag</t>
        </is>
      </c>
      <c r="F4" s="20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(DATE(Jahr,6,1)-WEEKDAY(DATE(Jahr,6,1),2)+1)+0</f>
        <v/>
      </c>
      <c r="C5" s="28">
        <f>(DATE(Jahr,6,1)-WEEKDAY(DATE(Jahr,6,1),2)+1)+1</f>
        <v/>
      </c>
      <c r="D5" s="28">
        <f>(DATE(Jahr,6,1)-WEEKDAY(DATE(Jahr,6,1),2)+1)+2</f>
        <v/>
      </c>
      <c r="E5" s="28">
        <f>(DATE(Jahr,6,1)-WEEKDAY(DATE(Jahr,6,1),2)+1)+3</f>
        <v/>
      </c>
      <c r="F5" s="28">
        <f>(DATE(Jahr,6,1)-WEEKDAY(DATE(Jahr,6,1),2)+1)+4</f>
        <v/>
      </c>
      <c r="G5" s="28">
        <f>(DATE(Jahr,6,1)-WEEKDAY(DATE(Jahr,6,1),2)+1)+5</f>
        <v/>
      </c>
      <c r="H5" s="28">
        <f>(DATE(Jahr,6,1)-WEEKDAY(DATE(Jahr,6,1),2)+1)+6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(DATE(Jahr,6,1)-WEEKDAY(DATE(Jahr,6,1),2)+1)+7</f>
        <v/>
      </c>
      <c r="C8" s="28">
        <f>(DATE(Jahr,6,1)-WEEKDAY(DATE(Jahr,6,1),2)+1)+8</f>
        <v/>
      </c>
      <c r="D8" s="28">
        <f>(DATE(Jahr,6,1)-WEEKDAY(DATE(Jahr,6,1),2)+1)+9</f>
        <v/>
      </c>
      <c r="E8" s="28">
        <f>(DATE(Jahr,6,1)-WEEKDAY(DATE(Jahr,6,1),2)+1)+10</f>
        <v/>
      </c>
      <c r="F8" s="28">
        <f>(DATE(Jahr,6,1)-WEEKDAY(DATE(Jahr,6,1),2)+1)+11</f>
        <v/>
      </c>
      <c r="G8" s="28">
        <f>(DATE(Jahr,6,1)-WEEKDAY(DATE(Jahr,6,1),2)+1)+12</f>
        <v/>
      </c>
      <c r="H8" s="28">
        <f>(DATE(Jahr,6,1)-WEEKDAY(DATE(Jahr,6,1),2)+1)+13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(DATE(Jahr,6,1)-WEEKDAY(DATE(Jahr,6,1),2)+1)+14</f>
        <v/>
      </c>
      <c r="C11" s="28">
        <f>(DATE(Jahr,6,1)-WEEKDAY(DATE(Jahr,6,1),2)+1)+15</f>
        <v/>
      </c>
      <c r="D11" s="28">
        <f>(DATE(Jahr,6,1)-WEEKDAY(DATE(Jahr,6,1),2)+1)+16</f>
        <v/>
      </c>
      <c r="E11" s="28">
        <f>(DATE(Jahr,6,1)-WEEKDAY(DATE(Jahr,6,1),2)+1)+17</f>
        <v/>
      </c>
      <c r="F11" s="28">
        <f>(DATE(Jahr,6,1)-WEEKDAY(DATE(Jahr,6,1),2)+1)+18</f>
        <v/>
      </c>
      <c r="G11" s="28">
        <f>(DATE(Jahr,6,1)-WEEKDAY(DATE(Jahr,6,1),2)+1)+19</f>
        <v/>
      </c>
      <c r="H11" s="28">
        <f>(DATE(Jahr,6,1)-WEEKDAY(DATE(Jahr,6,1),2)+1)+20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(DATE(Jahr,6,1)-WEEKDAY(DATE(Jahr,6,1),2)+1)+21</f>
        <v/>
      </c>
      <c r="C14" s="28">
        <f>(DATE(Jahr,6,1)-WEEKDAY(DATE(Jahr,6,1),2)+1)+22</f>
        <v/>
      </c>
      <c r="D14" s="28">
        <f>(DATE(Jahr,6,1)-WEEKDAY(DATE(Jahr,6,1),2)+1)+23</f>
        <v/>
      </c>
      <c r="E14" s="28">
        <f>(DATE(Jahr,6,1)-WEEKDAY(DATE(Jahr,6,1),2)+1)+24</f>
        <v/>
      </c>
      <c r="F14" s="28">
        <f>(DATE(Jahr,6,1)-WEEKDAY(DATE(Jahr,6,1),2)+1)+25</f>
        <v/>
      </c>
      <c r="G14" s="28">
        <f>(DATE(Jahr,6,1)-WEEKDAY(DATE(Jahr,6,1),2)+1)+26</f>
        <v/>
      </c>
      <c r="H14" s="28">
        <f>(DATE(Jahr,6,1)-WEEKDAY(DATE(Jahr,6,1),2)+1)+27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(DATE(Jahr,6,1)-WEEKDAY(DATE(Jahr,6,1),2)+1)+28</f>
        <v/>
      </c>
      <c r="C17" s="28">
        <f>(DATE(Jahr,6,1)-WEEKDAY(DATE(Jahr,6,1),2)+1)+29</f>
        <v/>
      </c>
      <c r="D17" s="28">
        <f>(DATE(Jahr,6,1)-WEEKDAY(DATE(Jahr,6,1),2)+1)+30</f>
        <v/>
      </c>
      <c r="E17" s="28">
        <f>(DATE(Jahr,6,1)-WEEKDAY(DATE(Jahr,6,1),2)+1)+31</f>
        <v/>
      </c>
      <c r="F17" s="28">
        <f>(DATE(Jahr,6,1)-WEEKDAY(DATE(Jahr,6,1),2)+1)+32</f>
        <v/>
      </c>
      <c r="G17" s="28">
        <f>(DATE(Jahr,6,1)-WEEKDAY(DATE(Jahr,6,1),2)+1)+33</f>
        <v/>
      </c>
      <c r="H17" s="28">
        <f>(DATE(Jahr,6,1)-WEEKDAY(DATE(Jahr,6,1),2)+1)+34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(DATE(Jahr,6,1)-WEEKDAY(DATE(Jahr,6,1),2)+1)+35</f>
        <v/>
      </c>
      <c r="C20" s="28">
        <f>(DATE(Jahr,6,1)-WEEKDAY(DATE(Jahr,6,1),2)+1)+36</f>
        <v/>
      </c>
      <c r="D20" s="28">
        <f>(DATE(Jahr,6,1)-WEEKDAY(DATE(Jahr,6,1),2)+1)+37</f>
        <v/>
      </c>
      <c r="E20" s="28">
        <f>(DATE(Jahr,6,1)-WEEKDAY(DATE(Jahr,6,1),2)+1)+38</f>
        <v/>
      </c>
      <c r="F20" s="28">
        <f>(DATE(Jahr,6,1)-WEEKDAY(DATE(Jahr,6,1),2)+1)+39</f>
        <v/>
      </c>
      <c r="G20" s="28">
        <f>(DATE(Jahr,6,1)-WEEKDAY(DATE(Jahr,6,1),2)+1)+40</f>
        <v/>
      </c>
      <c r="H20" s="28">
        <f>(DATE(Jahr,6,1)-WEEKDAY(DATE(Jahr,6,1),2)+1)+41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38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MONTH(B$5)&lt;&gt;6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MONTH(C$5)&lt;&gt;6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MONTH(D$5)&lt;&gt;6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MONTH(E$5)&lt;&gt;6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MONTH(F$5)&lt;&gt;6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MONTH(G$5)&lt;&gt;6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MONTH(H$5)&lt;&gt;6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MONTH(B$8)&lt;&gt;6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MONTH(C$8)&lt;&gt;6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MONTH(D$8)&lt;&gt;6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MONTH(E$8)&lt;&gt;6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MONTH(F$8)&lt;&gt;6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MONTH(G$8)&lt;&gt;6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MONTH(H$8)&lt;&gt;6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MONTH(B$11)&lt;&gt;6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MONTH(C$11)&lt;&gt;6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MONTH(D$11)&lt;&gt;6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MONTH(E$11)&lt;&gt;6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MONTH(F$11)&lt;&gt;6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MONTH(G$11)&lt;&gt;6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MONTH(H$11)&lt;&gt;6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MONTH(B$14)&lt;&gt;6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MONTH(C$14)&lt;&gt;6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MONTH(D$14)&lt;&gt;6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MONTH(E$14)&lt;&gt;6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MONTH(F$14)&lt;&gt;6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MONTH(G$14)&lt;&gt;6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MONTH(H$14)&lt;&gt;6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MONTH(B$17)&lt;&gt;6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MONTH(C$17)&lt;&gt;6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MONTH(D$17)&lt;&gt;6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MONTH(E$17)&lt;&gt;6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MONTH(F$17)&lt;&gt;6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MONTH(G$17)&lt;&gt;6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MONTH(H$17)&lt;&gt;6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MONTH(B$20)&lt;&gt;6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MONTH(C$20)&lt;&gt;6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MONTH(D$20)&lt;&gt;6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MONTH(E$20)&lt;&gt;6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MONTH(F$20)&lt;&gt;6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MONTH(G$20)&lt;&gt;6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MONTH(H$20)&lt;&gt;6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37">
        <f>"Juli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20" t="inlineStr">
        <is>
          <t>Montag</t>
        </is>
      </c>
      <c r="C4" s="20" t="inlineStr">
        <is>
          <t>Dienstag</t>
        </is>
      </c>
      <c r="D4" s="20" t="inlineStr">
        <is>
          <t>Mittwoch</t>
        </is>
      </c>
      <c r="E4" s="20" t="inlineStr">
        <is>
          <t>Donnerstag</t>
        </is>
      </c>
      <c r="F4" s="20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(DATE(Jahr,7,1)-WEEKDAY(DATE(Jahr,7,1),2)+1)+0</f>
        <v/>
      </c>
      <c r="C5" s="28">
        <f>(DATE(Jahr,7,1)-WEEKDAY(DATE(Jahr,7,1),2)+1)+1</f>
        <v/>
      </c>
      <c r="D5" s="28">
        <f>(DATE(Jahr,7,1)-WEEKDAY(DATE(Jahr,7,1),2)+1)+2</f>
        <v/>
      </c>
      <c r="E5" s="28">
        <f>(DATE(Jahr,7,1)-WEEKDAY(DATE(Jahr,7,1),2)+1)+3</f>
        <v/>
      </c>
      <c r="F5" s="28">
        <f>(DATE(Jahr,7,1)-WEEKDAY(DATE(Jahr,7,1),2)+1)+4</f>
        <v/>
      </c>
      <c r="G5" s="28">
        <f>(DATE(Jahr,7,1)-WEEKDAY(DATE(Jahr,7,1),2)+1)+5</f>
        <v/>
      </c>
      <c r="H5" s="28">
        <f>(DATE(Jahr,7,1)-WEEKDAY(DATE(Jahr,7,1),2)+1)+6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(DATE(Jahr,7,1)-WEEKDAY(DATE(Jahr,7,1),2)+1)+7</f>
        <v/>
      </c>
      <c r="C8" s="28">
        <f>(DATE(Jahr,7,1)-WEEKDAY(DATE(Jahr,7,1),2)+1)+8</f>
        <v/>
      </c>
      <c r="D8" s="28">
        <f>(DATE(Jahr,7,1)-WEEKDAY(DATE(Jahr,7,1),2)+1)+9</f>
        <v/>
      </c>
      <c r="E8" s="28">
        <f>(DATE(Jahr,7,1)-WEEKDAY(DATE(Jahr,7,1),2)+1)+10</f>
        <v/>
      </c>
      <c r="F8" s="28">
        <f>(DATE(Jahr,7,1)-WEEKDAY(DATE(Jahr,7,1),2)+1)+11</f>
        <v/>
      </c>
      <c r="G8" s="28">
        <f>(DATE(Jahr,7,1)-WEEKDAY(DATE(Jahr,7,1),2)+1)+12</f>
        <v/>
      </c>
      <c r="H8" s="28">
        <f>(DATE(Jahr,7,1)-WEEKDAY(DATE(Jahr,7,1),2)+1)+13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(DATE(Jahr,7,1)-WEEKDAY(DATE(Jahr,7,1),2)+1)+14</f>
        <v/>
      </c>
      <c r="C11" s="28">
        <f>(DATE(Jahr,7,1)-WEEKDAY(DATE(Jahr,7,1),2)+1)+15</f>
        <v/>
      </c>
      <c r="D11" s="28">
        <f>(DATE(Jahr,7,1)-WEEKDAY(DATE(Jahr,7,1),2)+1)+16</f>
        <v/>
      </c>
      <c r="E11" s="28">
        <f>(DATE(Jahr,7,1)-WEEKDAY(DATE(Jahr,7,1),2)+1)+17</f>
        <v/>
      </c>
      <c r="F11" s="28">
        <f>(DATE(Jahr,7,1)-WEEKDAY(DATE(Jahr,7,1),2)+1)+18</f>
        <v/>
      </c>
      <c r="G11" s="28">
        <f>(DATE(Jahr,7,1)-WEEKDAY(DATE(Jahr,7,1),2)+1)+19</f>
        <v/>
      </c>
      <c r="H11" s="28">
        <f>(DATE(Jahr,7,1)-WEEKDAY(DATE(Jahr,7,1),2)+1)+20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(DATE(Jahr,7,1)-WEEKDAY(DATE(Jahr,7,1),2)+1)+21</f>
        <v/>
      </c>
      <c r="C14" s="28">
        <f>(DATE(Jahr,7,1)-WEEKDAY(DATE(Jahr,7,1),2)+1)+22</f>
        <v/>
      </c>
      <c r="D14" s="28">
        <f>(DATE(Jahr,7,1)-WEEKDAY(DATE(Jahr,7,1),2)+1)+23</f>
        <v/>
      </c>
      <c r="E14" s="28">
        <f>(DATE(Jahr,7,1)-WEEKDAY(DATE(Jahr,7,1),2)+1)+24</f>
        <v/>
      </c>
      <c r="F14" s="28">
        <f>(DATE(Jahr,7,1)-WEEKDAY(DATE(Jahr,7,1),2)+1)+25</f>
        <v/>
      </c>
      <c r="G14" s="28">
        <f>(DATE(Jahr,7,1)-WEEKDAY(DATE(Jahr,7,1),2)+1)+26</f>
        <v/>
      </c>
      <c r="H14" s="28">
        <f>(DATE(Jahr,7,1)-WEEKDAY(DATE(Jahr,7,1),2)+1)+27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(DATE(Jahr,7,1)-WEEKDAY(DATE(Jahr,7,1),2)+1)+28</f>
        <v/>
      </c>
      <c r="C17" s="28">
        <f>(DATE(Jahr,7,1)-WEEKDAY(DATE(Jahr,7,1),2)+1)+29</f>
        <v/>
      </c>
      <c r="D17" s="28">
        <f>(DATE(Jahr,7,1)-WEEKDAY(DATE(Jahr,7,1),2)+1)+30</f>
        <v/>
      </c>
      <c r="E17" s="28">
        <f>(DATE(Jahr,7,1)-WEEKDAY(DATE(Jahr,7,1),2)+1)+31</f>
        <v/>
      </c>
      <c r="F17" s="28">
        <f>(DATE(Jahr,7,1)-WEEKDAY(DATE(Jahr,7,1),2)+1)+32</f>
        <v/>
      </c>
      <c r="G17" s="28">
        <f>(DATE(Jahr,7,1)-WEEKDAY(DATE(Jahr,7,1),2)+1)+33</f>
        <v/>
      </c>
      <c r="H17" s="28">
        <f>(DATE(Jahr,7,1)-WEEKDAY(DATE(Jahr,7,1),2)+1)+34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(DATE(Jahr,7,1)-WEEKDAY(DATE(Jahr,7,1),2)+1)+35</f>
        <v/>
      </c>
      <c r="C20" s="28">
        <f>(DATE(Jahr,7,1)-WEEKDAY(DATE(Jahr,7,1),2)+1)+36</f>
        <v/>
      </c>
      <c r="D20" s="28">
        <f>(DATE(Jahr,7,1)-WEEKDAY(DATE(Jahr,7,1),2)+1)+37</f>
        <v/>
      </c>
      <c r="E20" s="28">
        <f>(DATE(Jahr,7,1)-WEEKDAY(DATE(Jahr,7,1),2)+1)+38</f>
        <v/>
      </c>
      <c r="F20" s="28">
        <f>(DATE(Jahr,7,1)-WEEKDAY(DATE(Jahr,7,1),2)+1)+39</f>
        <v/>
      </c>
      <c r="G20" s="28">
        <f>(DATE(Jahr,7,1)-WEEKDAY(DATE(Jahr,7,1),2)+1)+40</f>
        <v/>
      </c>
      <c r="H20" s="28">
        <f>(DATE(Jahr,7,1)-WEEKDAY(DATE(Jahr,7,1),2)+1)+41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38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MONTH(B$5)&lt;&gt;7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MONTH(C$5)&lt;&gt;7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MONTH(D$5)&lt;&gt;7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MONTH(E$5)&lt;&gt;7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MONTH(F$5)&lt;&gt;7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MONTH(G$5)&lt;&gt;7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MONTH(H$5)&lt;&gt;7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MONTH(B$8)&lt;&gt;7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MONTH(C$8)&lt;&gt;7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MONTH(D$8)&lt;&gt;7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MONTH(E$8)&lt;&gt;7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MONTH(F$8)&lt;&gt;7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MONTH(G$8)&lt;&gt;7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MONTH(H$8)&lt;&gt;7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MONTH(B$11)&lt;&gt;7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MONTH(C$11)&lt;&gt;7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MONTH(D$11)&lt;&gt;7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MONTH(E$11)&lt;&gt;7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MONTH(F$11)&lt;&gt;7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MONTH(G$11)&lt;&gt;7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MONTH(H$11)&lt;&gt;7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MONTH(B$14)&lt;&gt;7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MONTH(C$14)&lt;&gt;7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MONTH(D$14)&lt;&gt;7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MONTH(E$14)&lt;&gt;7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MONTH(F$14)&lt;&gt;7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MONTH(G$14)&lt;&gt;7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MONTH(H$14)&lt;&gt;7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MONTH(B$17)&lt;&gt;7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MONTH(C$17)&lt;&gt;7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MONTH(D$17)&lt;&gt;7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MONTH(E$17)&lt;&gt;7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MONTH(F$17)&lt;&gt;7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MONTH(G$17)&lt;&gt;7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MONTH(H$17)&lt;&gt;7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MONTH(B$20)&lt;&gt;7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MONTH(C$20)&lt;&gt;7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MONTH(D$20)&lt;&gt;7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MONTH(E$20)&lt;&gt;7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MONTH(F$20)&lt;&gt;7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MONTH(G$20)&lt;&gt;7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MONTH(H$20)&lt;&gt;7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37">
        <f>"August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20" t="inlineStr">
        <is>
          <t>Montag</t>
        </is>
      </c>
      <c r="C4" s="20" t="inlineStr">
        <is>
          <t>Dienstag</t>
        </is>
      </c>
      <c r="D4" s="20" t="inlineStr">
        <is>
          <t>Mittwoch</t>
        </is>
      </c>
      <c r="E4" s="20" t="inlineStr">
        <is>
          <t>Donnerstag</t>
        </is>
      </c>
      <c r="F4" s="20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(DATE(Jahr,8,1)-WEEKDAY(DATE(Jahr,8,1),2)+1)+0</f>
        <v/>
      </c>
      <c r="C5" s="28">
        <f>(DATE(Jahr,8,1)-WEEKDAY(DATE(Jahr,8,1),2)+1)+1</f>
        <v/>
      </c>
      <c r="D5" s="28">
        <f>(DATE(Jahr,8,1)-WEEKDAY(DATE(Jahr,8,1),2)+1)+2</f>
        <v/>
      </c>
      <c r="E5" s="28">
        <f>(DATE(Jahr,8,1)-WEEKDAY(DATE(Jahr,8,1),2)+1)+3</f>
        <v/>
      </c>
      <c r="F5" s="28">
        <f>(DATE(Jahr,8,1)-WEEKDAY(DATE(Jahr,8,1),2)+1)+4</f>
        <v/>
      </c>
      <c r="G5" s="28">
        <f>(DATE(Jahr,8,1)-WEEKDAY(DATE(Jahr,8,1),2)+1)+5</f>
        <v/>
      </c>
      <c r="H5" s="28">
        <f>(DATE(Jahr,8,1)-WEEKDAY(DATE(Jahr,8,1),2)+1)+6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(DATE(Jahr,8,1)-WEEKDAY(DATE(Jahr,8,1),2)+1)+7</f>
        <v/>
      </c>
      <c r="C8" s="28">
        <f>(DATE(Jahr,8,1)-WEEKDAY(DATE(Jahr,8,1),2)+1)+8</f>
        <v/>
      </c>
      <c r="D8" s="28">
        <f>(DATE(Jahr,8,1)-WEEKDAY(DATE(Jahr,8,1),2)+1)+9</f>
        <v/>
      </c>
      <c r="E8" s="28">
        <f>(DATE(Jahr,8,1)-WEEKDAY(DATE(Jahr,8,1),2)+1)+10</f>
        <v/>
      </c>
      <c r="F8" s="28">
        <f>(DATE(Jahr,8,1)-WEEKDAY(DATE(Jahr,8,1),2)+1)+11</f>
        <v/>
      </c>
      <c r="G8" s="28">
        <f>(DATE(Jahr,8,1)-WEEKDAY(DATE(Jahr,8,1),2)+1)+12</f>
        <v/>
      </c>
      <c r="H8" s="28">
        <f>(DATE(Jahr,8,1)-WEEKDAY(DATE(Jahr,8,1),2)+1)+13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(DATE(Jahr,8,1)-WEEKDAY(DATE(Jahr,8,1),2)+1)+14</f>
        <v/>
      </c>
      <c r="C11" s="28">
        <f>(DATE(Jahr,8,1)-WEEKDAY(DATE(Jahr,8,1),2)+1)+15</f>
        <v/>
      </c>
      <c r="D11" s="28">
        <f>(DATE(Jahr,8,1)-WEEKDAY(DATE(Jahr,8,1),2)+1)+16</f>
        <v/>
      </c>
      <c r="E11" s="28">
        <f>(DATE(Jahr,8,1)-WEEKDAY(DATE(Jahr,8,1),2)+1)+17</f>
        <v/>
      </c>
      <c r="F11" s="28">
        <f>(DATE(Jahr,8,1)-WEEKDAY(DATE(Jahr,8,1),2)+1)+18</f>
        <v/>
      </c>
      <c r="G11" s="28">
        <f>(DATE(Jahr,8,1)-WEEKDAY(DATE(Jahr,8,1),2)+1)+19</f>
        <v/>
      </c>
      <c r="H11" s="28">
        <f>(DATE(Jahr,8,1)-WEEKDAY(DATE(Jahr,8,1),2)+1)+20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(DATE(Jahr,8,1)-WEEKDAY(DATE(Jahr,8,1),2)+1)+21</f>
        <v/>
      </c>
      <c r="C14" s="28">
        <f>(DATE(Jahr,8,1)-WEEKDAY(DATE(Jahr,8,1),2)+1)+22</f>
        <v/>
      </c>
      <c r="D14" s="28">
        <f>(DATE(Jahr,8,1)-WEEKDAY(DATE(Jahr,8,1),2)+1)+23</f>
        <v/>
      </c>
      <c r="E14" s="28">
        <f>(DATE(Jahr,8,1)-WEEKDAY(DATE(Jahr,8,1),2)+1)+24</f>
        <v/>
      </c>
      <c r="F14" s="28">
        <f>(DATE(Jahr,8,1)-WEEKDAY(DATE(Jahr,8,1),2)+1)+25</f>
        <v/>
      </c>
      <c r="G14" s="28">
        <f>(DATE(Jahr,8,1)-WEEKDAY(DATE(Jahr,8,1),2)+1)+26</f>
        <v/>
      </c>
      <c r="H14" s="28">
        <f>(DATE(Jahr,8,1)-WEEKDAY(DATE(Jahr,8,1),2)+1)+27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(DATE(Jahr,8,1)-WEEKDAY(DATE(Jahr,8,1),2)+1)+28</f>
        <v/>
      </c>
      <c r="C17" s="28">
        <f>(DATE(Jahr,8,1)-WEEKDAY(DATE(Jahr,8,1),2)+1)+29</f>
        <v/>
      </c>
      <c r="D17" s="28">
        <f>(DATE(Jahr,8,1)-WEEKDAY(DATE(Jahr,8,1),2)+1)+30</f>
        <v/>
      </c>
      <c r="E17" s="28">
        <f>(DATE(Jahr,8,1)-WEEKDAY(DATE(Jahr,8,1),2)+1)+31</f>
        <v/>
      </c>
      <c r="F17" s="28">
        <f>(DATE(Jahr,8,1)-WEEKDAY(DATE(Jahr,8,1),2)+1)+32</f>
        <v/>
      </c>
      <c r="G17" s="28">
        <f>(DATE(Jahr,8,1)-WEEKDAY(DATE(Jahr,8,1),2)+1)+33</f>
        <v/>
      </c>
      <c r="H17" s="28">
        <f>(DATE(Jahr,8,1)-WEEKDAY(DATE(Jahr,8,1),2)+1)+34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(DATE(Jahr,8,1)-WEEKDAY(DATE(Jahr,8,1),2)+1)+35</f>
        <v/>
      </c>
      <c r="C20" s="28">
        <f>(DATE(Jahr,8,1)-WEEKDAY(DATE(Jahr,8,1),2)+1)+36</f>
        <v/>
      </c>
      <c r="D20" s="28">
        <f>(DATE(Jahr,8,1)-WEEKDAY(DATE(Jahr,8,1),2)+1)+37</f>
        <v/>
      </c>
      <c r="E20" s="28">
        <f>(DATE(Jahr,8,1)-WEEKDAY(DATE(Jahr,8,1),2)+1)+38</f>
        <v/>
      </c>
      <c r="F20" s="28">
        <f>(DATE(Jahr,8,1)-WEEKDAY(DATE(Jahr,8,1),2)+1)+39</f>
        <v/>
      </c>
      <c r="G20" s="28">
        <f>(DATE(Jahr,8,1)-WEEKDAY(DATE(Jahr,8,1),2)+1)+40</f>
        <v/>
      </c>
      <c r="H20" s="28">
        <f>(DATE(Jahr,8,1)-WEEKDAY(DATE(Jahr,8,1),2)+1)+41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38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MONTH(B$5)&lt;&gt;8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MONTH(C$5)&lt;&gt;8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MONTH(D$5)&lt;&gt;8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MONTH(E$5)&lt;&gt;8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MONTH(F$5)&lt;&gt;8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MONTH(G$5)&lt;&gt;8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MONTH(H$5)&lt;&gt;8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MONTH(B$8)&lt;&gt;8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MONTH(C$8)&lt;&gt;8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MONTH(D$8)&lt;&gt;8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MONTH(E$8)&lt;&gt;8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MONTH(F$8)&lt;&gt;8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MONTH(G$8)&lt;&gt;8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MONTH(H$8)&lt;&gt;8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MONTH(B$11)&lt;&gt;8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MONTH(C$11)&lt;&gt;8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MONTH(D$11)&lt;&gt;8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MONTH(E$11)&lt;&gt;8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MONTH(F$11)&lt;&gt;8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MONTH(G$11)&lt;&gt;8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MONTH(H$11)&lt;&gt;8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MONTH(B$14)&lt;&gt;8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MONTH(C$14)&lt;&gt;8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MONTH(D$14)&lt;&gt;8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MONTH(E$14)&lt;&gt;8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MONTH(F$14)&lt;&gt;8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MONTH(G$14)&lt;&gt;8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MONTH(H$14)&lt;&gt;8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MONTH(B$17)&lt;&gt;8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MONTH(C$17)&lt;&gt;8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MONTH(D$17)&lt;&gt;8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MONTH(E$17)&lt;&gt;8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MONTH(F$17)&lt;&gt;8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MONTH(G$17)&lt;&gt;8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MONTH(H$17)&lt;&gt;8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MONTH(B$20)&lt;&gt;8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MONTH(C$20)&lt;&gt;8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MONTH(D$20)&lt;&gt;8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MONTH(E$20)&lt;&gt;8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MONTH(F$20)&lt;&gt;8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MONTH(G$20)&lt;&gt;8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MONTH(H$20)&lt;&gt;8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39">
        <f>"September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21" t="inlineStr">
        <is>
          <t>Montag</t>
        </is>
      </c>
      <c r="C4" s="21" t="inlineStr">
        <is>
          <t>Dienstag</t>
        </is>
      </c>
      <c r="D4" s="21" t="inlineStr">
        <is>
          <t>Mittwoch</t>
        </is>
      </c>
      <c r="E4" s="21" t="inlineStr">
        <is>
          <t>Donnerstag</t>
        </is>
      </c>
      <c r="F4" s="21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(DATE(Jahr,9,1)-WEEKDAY(DATE(Jahr,9,1),2)+1)+0</f>
        <v/>
      </c>
      <c r="C5" s="28">
        <f>(DATE(Jahr,9,1)-WEEKDAY(DATE(Jahr,9,1),2)+1)+1</f>
        <v/>
      </c>
      <c r="D5" s="28">
        <f>(DATE(Jahr,9,1)-WEEKDAY(DATE(Jahr,9,1),2)+1)+2</f>
        <v/>
      </c>
      <c r="E5" s="28">
        <f>(DATE(Jahr,9,1)-WEEKDAY(DATE(Jahr,9,1),2)+1)+3</f>
        <v/>
      </c>
      <c r="F5" s="28">
        <f>(DATE(Jahr,9,1)-WEEKDAY(DATE(Jahr,9,1),2)+1)+4</f>
        <v/>
      </c>
      <c r="G5" s="28">
        <f>(DATE(Jahr,9,1)-WEEKDAY(DATE(Jahr,9,1),2)+1)+5</f>
        <v/>
      </c>
      <c r="H5" s="28">
        <f>(DATE(Jahr,9,1)-WEEKDAY(DATE(Jahr,9,1),2)+1)+6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(DATE(Jahr,9,1)-WEEKDAY(DATE(Jahr,9,1),2)+1)+7</f>
        <v/>
      </c>
      <c r="C8" s="28">
        <f>(DATE(Jahr,9,1)-WEEKDAY(DATE(Jahr,9,1),2)+1)+8</f>
        <v/>
      </c>
      <c r="D8" s="28">
        <f>(DATE(Jahr,9,1)-WEEKDAY(DATE(Jahr,9,1),2)+1)+9</f>
        <v/>
      </c>
      <c r="E8" s="28">
        <f>(DATE(Jahr,9,1)-WEEKDAY(DATE(Jahr,9,1),2)+1)+10</f>
        <v/>
      </c>
      <c r="F8" s="28">
        <f>(DATE(Jahr,9,1)-WEEKDAY(DATE(Jahr,9,1),2)+1)+11</f>
        <v/>
      </c>
      <c r="G8" s="28">
        <f>(DATE(Jahr,9,1)-WEEKDAY(DATE(Jahr,9,1),2)+1)+12</f>
        <v/>
      </c>
      <c r="H8" s="28">
        <f>(DATE(Jahr,9,1)-WEEKDAY(DATE(Jahr,9,1),2)+1)+13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(DATE(Jahr,9,1)-WEEKDAY(DATE(Jahr,9,1),2)+1)+14</f>
        <v/>
      </c>
      <c r="C11" s="28">
        <f>(DATE(Jahr,9,1)-WEEKDAY(DATE(Jahr,9,1),2)+1)+15</f>
        <v/>
      </c>
      <c r="D11" s="28">
        <f>(DATE(Jahr,9,1)-WEEKDAY(DATE(Jahr,9,1),2)+1)+16</f>
        <v/>
      </c>
      <c r="E11" s="28">
        <f>(DATE(Jahr,9,1)-WEEKDAY(DATE(Jahr,9,1),2)+1)+17</f>
        <v/>
      </c>
      <c r="F11" s="28">
        <f>(DATE(Jahr,9,1)-WEEKDAY(DATE(Jahr,9,1),2)+1)+18</f>
        <v/>
      </c>
      <c r="G11" s="28">
        <f>(DATE(Jahr,9,1)-WEEKDAY(DATE(Jahr,9,1),2)+1)+19</f>
        <v/>
      </c>
      <c r="H11" s="28">
        <f>(DATE(Jahr,9,1)-WEEKDAY(DATE(Jahr,9,1),2)+1)+20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(DATE(Jahr,9,1)-WEEKDAY(DATE(Jahr,9,1),2)+1)+21</f>
        <v/>
      </c>
      <c r="C14" s="28">
        <f>(DATE(Jahr,9,1)-WEEKDAY(DATE(Jahr,9,1),2)+1)+22</f>
        <v/>
      </c>
      <c r="D14" s="28">
        <f>(DATE(Jahr,9,1)-WEEKDAY(DATE(Jahr,9,1),2)+1)+23</f>
        <v/>
      </c>
      <c r="E14" s="28">
        <f>(DATE(Jahr,9,1)-WEEKDAY(DATE(Jahr,9,1),2)+1)+24</f>
        <v/>
      </c>
      <c r="F14" s="28">
        <f>(DATE(Jahr,9,1)-WEEKDAY(DATE(Jahr,9,1),2)+1)+25</f>
        <v/>
      </c>
      <c r="G14" s="28">
        <f>(DATE(Jahr,9,1)-WEEKDAY(DATE(Jahr,9,1),2)+1)+26</f>
        <v/>
      </c>
      <c r="H14" s="28">
        <f>(DATE(Jahr,9,1)-WEEKDAY(DATE(Jahr,9,1),2)+1)+27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(DATE(Jahr,9,1)-WEEKDAY(DATE(Jahr,9,1),2)+1)+28</f>
        <v/>
      </c>
      <c r="C17" s="28">
        <f>(DATE(Jahr,9,1)-WEEKDAY(DATE(Jahr,9,1),2)+1)+29</f>
        <v/>
      </c>
      <c r="D17" s="28">
        <f>(DATE(Jahr,9,1)-WEEKDAY(DATE(Jahr,9,1),2)+1)+30</f>
        <v/>
      </c>
      <c r="E17" s="28">
        <f>(DATE(Jahr,9,1)-WEEKDAY(DATE(Jahr,9,1),2)+1)+31</f>
        <v/>
      </c>
      <c r="F17" s="28">
        <f>(DATE(Jahr,9,1)-WEEKDAY(DATE(Jahr,9,1),2)+1)+32</f>
        <v/>
      </c>
      <c r="G17" s="28">
        <f>(DATE(Jahr,9,1)-WEEKDAY(DATE(Jahr,9,1),2)+1)+33</f>
        <v/>
      </c>
      <c r="H17" s="28">
        <f>(DATE(Jahr,9,1)-WEEKDAY(DATE(Jahr,9,1),2)+1)+34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(DATE(Jahr,9,1)-WEEKDAY(DATE(Jahr,9,1),2)+1)+35</f>
        <v/>
      </c>
      <c r="C20" s="28">
        <f>(DATE(Jahr,9,1)-WEEKDAY(DATE(Jahr,9,1),2)+1)+36</f>
        <v/>
      </c>
      <c r="D20" s="28">
        <f>(DATE(Jahr,9,1)-WEEKDAY(DATE(Jahr,9,1),2)+1)+37</f>
        <v/>
      </c>
      <c r="E20" s="28">
        <f>(DATE(Jahr,9,1)-WEEKDAY(DATE(Jahr,9,1),2)+1)+38</f>
        <v/>
      </c>
      <c r="F20" s="28">
        <f>(DATE(Jahr,9,1)-WEEKDAY(DATE(Jahr,9,1),2)+1)+39</f>
        <v/>
      </c>
      <c r="G20" s="28">
        <f>(DATE(Jahr,9,1)-WEEKDAY(DATE(Jahr,9,1),2)+1)+40</f>
        <v/>
      </c>
      <c r="H20" s="28">
        <f>(DATE(Jahr,9,1)-WEEKDAY(DATE(Jahr,9,1),2)+1)+41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40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MONTH(B$5)&lt;&gt;9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MONTH(C$5)&lt;&gt;9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MONTH(D$5)&lt;&gt;9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MONTH(E$5)&lt;&gt;9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MONTH(F$5)&lt;&gt;9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MONTH(G$5)&lt;&gt;9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MONTH(H$5)&lt;&gt;9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MONTH(B$8)&lt;&gt;9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MONTH(C$8)&lt;&gt;9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MONTH(D$8)&lt;&gt;9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MONTH(E$8)&lt;&gt;9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MONTH(F$8)&lt;&gt;9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MONTH(G$8)&lt;&gt;9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MONTH(H$8)&lt;&gt;9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MONTH(B$11)&lt;&gt;9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MONTH(C$11)&lt;&gt;9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MONTH(D$11)&lt;&gt;9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MONTH(E$11)&lt;&gt;9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MONTH(F$11)&lt;&gt;9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MONTH(G$11)&lt;&gt;9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MONTH(H$11)&lt;&gt;9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MONTH(B$14)&lt;&gt;9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MONTH(C$14)&lt;&gt;9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MONTH(D$14)&lt;&gt;9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MONTH(E$14)&lt;&gt;9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MONTH(F$14)&lt;&gt;9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MONTH(G$14)&lt;&gt;9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MONTH(H$14)&lt;&gt;9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MONTH(B$17)&lt;&gt;9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MONTH(C$17)&lt;&gt;9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MONTH(D$17)&lt;&gt;9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MONTH(E$17)&lt;&gt;9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MONTH(F$17)&lt;&gt;9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MONTH(G$17)&lt;&gt;9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MONTH(H$17)&lt;&gt;9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MONTH(B$20)&lt;&gt;9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MONTH(C$20)&lt;&gt;9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MONTH(D$20)&lt;&gt;9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MONTH(E$20)&lt;&gt;9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MONTH(F$20)&lt;&gt;9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MONTH(G$20)&lt;&gt;9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MONTH(H$20)&lt;&gt;9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39">
        <f>"Oktober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21" t="inlineStr">
        <is>
          <t>Montag</t>
        </is>
      </c>
      <c r="C4" s="21" t="inlineStr">
        <is>
          <t>Dienstag</t>
        </is>
      </c>
      <c r="D4" s="21" t="inlineStr">
        <is>
          <t>Mittwoch</t>
        </is>
      </c>
      <c r="E4" s="21" t="inlineStr">
        <is>
          <t>Donnerstag</t>
        </is>
      </c>
      <c r="F4" s="21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(DATE(Jahr,10,1)-WEEKDAY(DATE(Jahr,10,1),2)+1)+0</f>
        <v/>
      </c>
      <c r="C5" s="28">
        <f>(DATE(Jahr,10,1)-WEEKDAY(DATE(Jahr,10,1),2)+1)+1</f>
        <v/>
      </c>
      <c r="D5" s="28">
        <f>(DATE(Jahr,10,1)-WEEKDAY(DATE(Jahr,10,1),2)+1)+2</f>
        <v/>
      </c>
      <c r="E5" s="28">
        <f>(DATE(Jahr,10,1)-WEEKDAY(DATE(Jahr,10,1),2)+1)+3</f>
        <v/>
      </c>
      <c r="F5" s="28">
        <f>(DATE(Jahr,10,1)-WEEKDAY(DATE(Jahr,10,1),2)+1)+4</f>
        <v/>
      </c>
      <c r="G5" s="28">
        <f>(DATE(Jahr,10,1)-WEEKDAY(DATE(Jahr,10,1),2)+1)+5</f>
        <v/>
      </c>
      <c r="H5" s="28">
        <f>(DATE(Jahr,10,1)-WEEKDAY(DATE(Jahr,10,1),2)+1)+6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(DATE(Jahr,10,1)-WEEKDAY(DATE(Jahr,10,1),2)+1)+7</f>
        <v/>
      </c>
      <c r="C8" s="28">
        <f>(DATE(Jahr,10,1)-WEEKDAY(DATE(Jahr,10,1),2)+1)+8</f>
        <v/>
      </c>
      <c r="D8" s="28">
        <f>(DATE(Jahr,10,1)-WEEKDAY(DATE(Jahr,10,1),2)+1)+9</f>
        <v/>
      </c>
      <c r="E8" s="28">
        <f>(DATE(Jahr,10,1)-WEEKDAY(DATE(Jahr,10,1),2)+1)+10</f>
        <v/>
      </c>
      <c r="F8" s="28">
        <f>(DATE(Jahr,10,1)-WEEKDAY(DATE(Jahr,10,1),2)+1)+11</f>
        <v/>
      </c>
      <c r="G8" s="28">
        <f>(DATE(Jahr,10,1)-WEEKDAY(DATE(Jahr,10,1),2)+1)+12</f>
        <v/>
      </c>
      <c r="H8" s="28">
        <f>(DATE(Jahr,10,1)-WEEKDAY(DATE(Jahr,10,1),2)+1)+13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(DATE(Jahr,10,1)-WEEKDAY(DATE(Jahr,10,1),2)+1)+14</f>
        <v/>
      </c>
      <c r="C11" s="28">
        <f>(DATE(Jahr,10,1)-WEEKDAY(DATE(Jahr,10,1),2)+1)+15</f>
        <v/>
      </c>
      <c r="D11" s="28">
        <f>(DATE(Jahr,10,1)-WEEKDAY(DATE(Jahr,10,1),2)+1)+16</f>
        <v/>
      </c>
      <c r="E11" s="28">
        <f>(DATE(Jahr,10,1)-WEEKDAY(DATE(Jahr,10,1),2)+1)+17</f>
        <v/>
      </c>
      <c r="F11" s="28">
        <f>(DATE(Jahr,10,1)-WEEKDAY(DATE(Jahr,10,1),2)+1)+18</f>
        <v/>
      </c>
      <c r="G11" s="28">
        <f>(DATE(Jahr,10,1)-WEEKDAY(DATE(Jahr,10,1),2)+1)+19</f>
        <v/>
      </c>
      <c r="H11" s="28">
        <f>(DATE(Jahr,10,1)-WEEKDAY(DATE(Jahr,10,1),2)+1)+20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(DATE(Jahr,10,1)-WEEKDAY(DATE(Jahr,10,1),2)+1)+21</f>
        <v/>
      </c>
      <c r="C14" s="28">
        <f>(DATE(Jahr,10,1)-WEEKDAY(DATE(Jahr,10,1),2)+1)+22</f>
        <v/>
      </c>
      <c r="D14" s="28">
        <f>(DATE(Jahr,10,1)-WEEKDAY(DATE(Jahr,10,1),2)+1)+23</f>
        <v/>
      </c>
      <c r="E14" s="28">
        <f>(DATE(Jahr,10,1)-WEEKDAY(DATE(Jahr,10,1),2)+1)+24</f>
        <v/>
      </c>
      <c r="F14" s="28">
        <f>(DATE(Jahr,10,1)-WEEKDAY(DATE(Jahr,10,1),2)+1)+25</f>
        <v/>
      </c>
      <c r="G14" s="28">
        <f>(DATE(Jahr,10,1)-WEEKDAY(DATE(Jahr,10,1),2)+1)+26</f>
        <v/>
      </c>
      <c r="H14" s="28">
        <f>(DATE(Jahr,10,1)-WEEKDAY(DATE(Jahr,10,1),2)+1)+27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(DATE(Jahr,10,1)-WEEKDAY(DATE(Jahr,10,1),2)+1)+28</f>
        <v/>
      </c>
      <c r="C17" s="28">
        <f>(DATE(Jahr,10,1)-WEEKDAY(DATE(Jahr,10,1),2)+1)+29</f>
        <v/>
      </c>
      <c r="D17" s="28">
        <f>(DATE(Jahr,10,1)-WEEKDAY(DATE(Jahr,10,1),2)+1)+30</f>
        <v/>
      </c>
      <c r="E17" s="28">
        <f>(DATE(Jahr,10,1)-WEEKDAY(DATE(Jahr,10,1),2)+1)+31</f>
        <v/>
      </c>
      <c r="F17" s="28">
        <f>(DATE(Jahr,10,1)-WEEKDAY(DATE(Jahr,10,1),2)+1)+32</f>
        <v/>
      </c>
      <c r="G17" s="28">
        <f>(DATE(Jahr,10,1)-WEEKDAY(DATE(Jahr,10,1),2)+1)+33</f>
        <v/>
      </c>
      <c r="H17" s="28">
        <f>(DATE(Jahr,10,1)-WEEKDAY(DATE(Jahr,10,1),2)+1)+34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(DATE(Jahr,10,1)-WEEKDAY(DATE(Jahr,10,1),2)+1)+35</f>
        <v/>
      </c>
      <c r="C20" s="28">
        <f>(DATE(Jahr,10,1)-WEEKDAY(DATE(Jahr,10,1),2)+1)+36</f>
        <v/>
      </c>
      <c r="D20" s="28">
        <f>(DATE(Jahr,10,1)-WEEKDAY(DATE(Jahr,10,1),2)+1)+37</f>
        <v/>
      </c>
      <c r="E20" s="28">
        <f>(DATE(Jahr,10,1)-WEEKDAY(DATE(Jahr,10,1),2)+1)+38</f>
        <v/>
      </c>
      <c r="F20" s="28">
        <f>(DATE(Jahr,10,1)-WEEKDAY(DATE(Jahr,10,1),2)+1)+39</f>
        <v/>
      </c>
      <c r="G20" s="28">
        <f>(DATE(Jahr,10,1)-WEEKDAY(DATE(Jahr,10,1),2)+1)+40</f>
        <v/>
      </c>
      <c r="H20" s="28">
        <f>(DATE(Jahr,10,1)-WEEKDAY(DATE(Jahr,10,1),2)+1)+41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40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MONTH(B$5)&lt;&gt;10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MONTH(C$5)&lt;&gt;10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MONTH(D$5)&lt;&gt;10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MONTH(E$5)&lt;&gt;10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MONTH(F$5)&lt;&gt;10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MONTH(G$5)&lt;&gt;10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MONTH(H$5)&lt;&gt;10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MONTH(B$8)&lt;&gt;10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MONTH(C$8)&lt;&gt;10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MONTH(D$8)&lt;&gt;10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MONTH(E$8)&lt;&gt;10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MONTH(F$8)&lt;&gt;10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MONTH(G$8)&lt;&gt;10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MONTH(H$8)&lt;&gt;10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MONTH(B$11)&lt;&gt;10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MONTH(C$11)&lt;&gt;10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MONTH(D$11)&lt;&gt;10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MONTH(E$11)&lt;&gt;10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MONTH(F$11)&lt;&gt;10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MONTH(G$11)&lt;&gt;10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MONTH(H$11)&lt;&gt;10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MONTH(B$14)&lt;&gt;10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MONTH(C$14)&lt;&gt;10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MONTH(D$14)&lt;&gt;10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MONTH(E$14)&lt;&gt;10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MONTH(F$14)&lt;&gt;10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MONTH(G$14)&lt;&gt;10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MONTH(H$14)&lt;&gt;10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MONTH(B$17)&lt;&gt;10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MONTH(C$17)&lt;&gt;10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MONTH(D$17)&lt;&gt;10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MONTH(E$17)&lt;&gt;10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MONTH(F$17)&lt;&gt;10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MONTH(G$17)&lt;&gt;10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MONTH(H$17)&lt;&gt;10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MONTH(B$20)&lt;&gt;10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MONTH(C$20)&lt;&gt;10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MONTH(D$20)&lt;&gt;10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MONTH(E$20)&lt;&gt;10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MONTH(F$20)&lt;&gt;10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MONTH(G$20)&lt;&gt;10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MONTH(H$20)&lt;&gt;10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39">
        <f>"November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21" t="inlineStr">
        <is>
          <t>Montag</t>
        </is>
      </c>
      <c r="C4" s="21" t="inlineStr">
        <is>
          <t>Dienstag</t>
        </is>
      </c>
      <c r="D4" s="21" t="inlineStr">
        <is>
          <t>Mittwoch</t>
        </is>
      </c>
      <c r="E4" s="21" t="inlineStr">
        <is>
          <t>Donnerstag</t>
        </is>
      </c>
      <c r="F4" s="21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(DATE(Jahr,11,1)-WEEKDAY(DATE(Jahr,11,1),2)+1)+0</f>
        <v/>
      </c>
      <c r="C5" s="28">
        <f>(DATE(Jahr,11,1)-WEEKDAY(DATE(Jahr,11,1),2)+1)+1</f>
        <v/>
      </c>
      <c r="D5" s="28">
        <f>(DATE(Jahr,11,1)-WEEKDAY(DATE(Jahr,11,1),2)+1)+2</f>
        <v/>
      </c>
      <c r="E5" s="28">
        <f>(DATE(Jahr,11,1)-WEEKDAY(DATE(Jahr,11,1),2)+1)+3</f>
        <v/>
      </c>
      <c r="F5" s="28">
        <f>(DATE(Jahr,11,1)-WEEKDAY(DATE(Jahr,11,1),2)+1)+4</f>
        <v/>
      </c>
      <c r="G5" s="28">
        <f>(DATE(Jahr,11,1)-WEEKDAY(DATE(Jahr,11,1),2)+1)+5</f>
        <v/>
      </c>
      <c r="H5" s="28">
        <f>(DATE(Jahr,11,1)-WEEKDAY(DATE(Jahr,11,1),2)+1)+6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(DATE(Jahr,11,1)-WEEKDAY(DATE(Jahr,11,1),2)+1)+7</f>
        <v/>
      </c>
      <c r="C8" s="28">
        <f>(DATE(Jahr,11,1)-WEEKDAY(DATE(Jahr,11,1),2)+1)+8</f>
        <v/>
      </c>
      <c r="D8" s="28">
        <f>(DATE(Jahr,11,1)-WEEKDAY(DATE(Jahr,11,1),2)+1)+9</f>
        <v/>
      </c>
      <c r="E8" s="28">
        <f>(DATE(Jahr,11,1)-WEEKDAY(DATE(Jahr,11,1),2)+1)+10</f>
        <v/>
      </c>
      <c r="F8" s="28">
        <f>(DATE(Jahr,11,1)-WEEKDAY(DATE(Jahr,11,1),2)+1)+11</f>
        <v/>
      </c>
      <c r="G8" s="28">
        <f>(DATE(Jahr,11,1)-WEEKDAY(DATE(Jahr,11,1),2)+1)+12</f>
        <v/>
      </c>
      <c r="H8" s="28">
        <f>(DATE(Jahr,11,1)-WEEKDAY(DATE(Jahr,11,1),2)+1)+13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(DATE(Jahr,11,1)-WEEKDAY(DATE(Jahr,11,1),2)+1)+14</f>
        <v/>
      </c>
      <c r="C11" s="28">
        <f>(DATE(Jahr,11,1)-WEEKDAY(DATE(Jahr,11,1),2)+1)+15</f>
        <v/>
      </c>
      <c r="D11" s="28">
        <f>(DATE(Jahr,11,1)-WEEKDAY(DATE(Jahr,11,1),2)+1)+16</f>
        <v/>
      </c>
      <c r="E11" s="28">
        <f>(DATE(Jahr,11,1)-WEEKDAY(DATE(Jahr,11,1),2)+1)+17</f>
        <v/>
      </c>
      <c r="F11" s="28">
        <f>(DATE(Jahr,11,1)-WEEKDAY(DATE(Jahr,11,1),2)+1)+18</f>
        <v/>
      </c>
      <c r="G11" s="28">
        <f>(DATE(Jahr,11,1)-WEEKDAY(DATE(Jahr,11,1),2)+1)+19</f>
        <v/>
      </c>
      <c r="H11" s="28">
        <f>(DATE(Jahr,11,1)-WEEKDAY(DATE(Jahr,11,1),2)+1)+20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(DATE(Jahr,11,1)-WEEKDAY(DATE(Jahr,11,1),2)+1)+21</f>
        <v/>
      </c>
      <c r="C14" s="28">
        <f>(DATE(Jahr,11,1)-WEEKDAY(DATE(Jahr,11,1),2)+1)+22</f>
        <v/>
      </c>
      <c r="D14" s="28">
        <f>(DATE(Jahr,11,1)-WEEKDAY(DATE(Jahr,11,1),2)+1)+23</f>
        <v/>
      </c>
      <c r="E14" s="28">
        <f>(DATE(Jahr,11,1)-WEEKDAY(DATE(Jahr,11,1),2)+1)+24</f>
        <v/>
      </c>
      <c r="F14" s="28">
        <f>(DATE(Jahr,11,1)-WEEKDAY(DATE(Jahr,11,1),2)+1)+25</f>
        <v/>
      </c>
      <c r="G14" s="28">
        <f>(DATE(Jahr,11,1)-WEEKDAY(DATE(Jahr,11,1),2)+1)+26</f>
        <v/>
      </c>
      <c r="H14" s="28">
        <f>(DATE(Jahr,11,1)-WEEKDAY(DATE(Jahr,11,1),2)+1)+27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(DATE(Jahr,11,1)-WEEKDAY(DATE(Jahr,11,1),2)+1)+28</f>
        <v/>
      </c>
      <c r="C17" s="28">
        <f>(DATE(Jahr,11,1)-WEEKDAY(DATE(Jahr,11,1),2)+1)+29</f>
        <v/>
      </c>
      <c r="D17" s="28">
        <f>(DATE(Jahr,11,1)-WEEKDAY(DATE(Jahr,11,1),2)+1)+30</f>
        <v/>
      </c>
      <c r="E17" s="28">
        <f>(DATE(Jahr,11,1)-WEEKDAY(DATE(Jahr,11,1),2)+1)+31</f>
        <v/>
      </c>
      <c r="F17" s="28">
        <f>(DATE(Jahr,11,1)-WEEKDAY(DATE(Jahr,11,1),2)+1)+32</f>
        <v/>
      </c>
      <c r="G17" s="28">
        <f>(DATE(Jahr,11,1)-WEEKDAY(DATE(Jahr,11,1),2)+1)+33</f>
        <v/>
      </c>
      <c r="H17" s="28">
        <f>(DATE(Jahr,11,1)-WEEKDAY(DATE(Jahr,11,1),2)+1)+34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(DATE(Jahr,11,1)-WEEKDAY(DATE(Jahr,11,1),2)+1)+35</f>
        <v/>
      </c>
      <c r="C20" s="28">
        <f>(DATE(Jahr,11,1)-WEEKDAY(DATE(Jahr,11,1),2)+1)+36</f>
        <v/>
      </c>
      <c r="D20" s="28">
        <f>(DATE(Jahr,11,1)-WEEKDAY(DATE(Jahr,11,1),2)+1)+37</f>
        <v/>
      </c>
      <c r="E20" s="28">
        <f>(DATE(Jahr,11,1)-WEEKDAY(DATE(Jahr,11,1),2)+1)+38</f>
        <v/>
      </c>
      <c r="F20" s="28">
        <f>(DATE(Jahr,11,1)-WEEKDAY(DATE(Jahr,11,1),2)+1)+39</f>
        <v/>
      </c>
      <c r="G20" s="28">
        <f>(DATE(Jahr,11,1)-WEEKDAY(DATE(Jahr,11,1),2)+1)+40</f>
        <v/>
      </c>
      <c r="H20" s="28">
        <f>(DATE(Jahr,11,1)-WEEKDAY(DATE(Jahr,11,1),2)+1)+41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40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MONTH(B$5)&lt;&gt;11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MONTH(C$5)&lt;&gt;11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MONTH(D$5)&lt;&gt;11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MONTH(E$5)&lt;&gt;11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MONTH(F$5)&lt;&gt;11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MONTH(G$5)&lt;&gt;11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MONTH(H$5)&lt;&gt;11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MONTH(B$8)&lt;&gt;11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MONTH(C$8)&lt;&gt;11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MONTH(D$8)&lt;&gt;11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MONTH(E$8)&lt;&gt;11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MONTH(F$8)&lt;&gt;11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MONTH(G$8)&lt;&gt;11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MONTH(H$8)&lt;&gt;11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MONTH(B$11)&lt;&gt;11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MONTH(C$11)&lt;&gt;11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MONTH(D$11)&lt;&gt;11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MONTH(E$11)&lt;&gt;11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MONTH(F$11)&lt;&gt;11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MONTH(G$11)&lt;&gt;11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MONTH(H$11)&lt;&gt;11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MONTH(B$14)&lt;&gt;11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MONTH(C$14)&lt;&gt;11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MONTH(D$14)&lt;&gt;11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MONTH(E$14)&lt;&gt;11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MONTH(F$14)&lt;&gt;11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MONTH(G$14)&lt;&gt;11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MONTH(H$14)&lt;&gt;11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MONTH(B$17)&lt;&gt;11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MONTH(C$17)&lt;&gt;11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MONTH(D$17)&lt;&gt;11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MONTH(E$17)&lt;&gt;11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MONTH(F$17)&lt;&gt;11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MONTH(G$17)&lt;&gt;11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MONTH(H$17)&lt;&gt;11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MONTH(B$20)&lt;&gt;11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MONTH(C$20)&lt;&gt;11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MONTH(D$20)&lt;&gt;11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MONTH(E$20)&lt;&gt;11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MONTH(F$20)&lt;&gt;11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MONTH(G$20)&lt;&gt;11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MONTH(H$20)&lt;&gt;11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6" customHeight="1">
      <c r="A1" s="24">
        <f>"Dezember "&amp;Jahr</f>
        <v/>
      </c>
    </row>
    <row r="2">
      <c r="B2" s="15" t="inlineStr">
        <is>
          <t>Feiertag</t>
        </is>
      </c>
      <c r="E2" s="16" t="inlineStr">
        <is>
          <t>Schulferien (2027)</t>
        </is>
      </c>
      <c r="H2" s="17" t="inlineStr">
        <is>
          <t>Wochenende</t>
        </is>
      </c>
    </row>
    <row r="4">
      <c r="A4" s="25" t="inlineStr">
        <is>
          <t>KW</t>
        </is>
      </c>
      <c r="B4" s="18" t="inlineStr">
        <is>
          <t>Montag</t>
        </is>
      </c>
      <c r="C4" s="18" t="inlineStr">
        <is>
          <t>Dienstag</t>
        </is>
      </c>
      <c r="D4" s="18" t="inlineStr">
        <is>
          <t>Mittwoch</t>
        </is>
      </c>
      <c r="E4" s="18" t="inlineStr">
        <is>
          <t>Donnerstag</t>
        </is>
      </c>
      <c r="F4" s="18" t="inlineStr">
        <is>
          <t>Freitag</t>
        </is>
      </c>
      <c r="G4" s="26" t="inlineStr">
        <is>
          <t>Samstag</t>
        </is>
      </c>
      <c r="H4" s="26" t="inlineStr">
        <is>
          <t>Sonntag</t>
        </is>
      </c>
    </row>
    <row r="5" ht="18" customHeight="1">
      <c r="A5" s="27">
        <f>_xlfn.ISOWEEKNUM(B5)</f>
        <v/>
      </c>
      <c r="B5" s="28">
        <f>(DATE(Jahr,12,1)-WEEKDAY(DATE(Jahr,12,1),2)+1)+0</f>
        <v/>
      </c>
      <c r="C5" s="28">
        <f>(DATE(Jahr,12,1)-WEEKDAY(DATE(Jahr,12,1),2)+1)+1</f>
        <v/>
      </c>
      <c r="D5" s="28">
        <f>(DATE(Jahr,12,1)-WEEKDAY(DATE(Jahr,12,1),2)+1)+2</f>
        <v/>
      </c>
      <c r="E5" s="28">
        <f>(DATE(Jahr,12,1)-WEEKDAY(DATE(Jahr,12,1),2)+1)+3</f>
        <v/>
      </c>
      <c r="F5" s="28">
        <f>(DATE(Jahr,12,1)-WEEKDAY(DATE(Jahr,12,1),2)+1)+4</f>
        <v/>
      </c>
      <c r="G5" s="28">
        <f>(DATE(Jahr,12,1)-WEEKDAY(DATE(Jahr,12,1),2)+1)+5</f>
        <v/>
      </c>
      <c r="H5" s="28">
        <f>(DATE(Jahr,12,1)-WEEKDAY(DATE(Jahr,12,1),2)+1)+6</f>
        <v/>
      </c>
    </row>
    <row r="6" ht="12" customHeight="1">
      <c r="A6" s="29" t="n"/>
      <c r="B6" s="30">
        <f>IFERROR(INDEX(FtName,MATCH(B5,FtGilt,0)),"")</f>
        <v/>
      </c>
      <c r="C6" s="30">
        <f>IFERROR(INDEX(FtName,MATCH(C5,FtGilt,0)),"")</f>
        <v/>
      </c>
      <c r="D6" s="30">
        <f>IFERROR(INDEX(FtName,MATCH(D5,FtGilt,0)),"")</f>
        <v/>
      </c>
      <c r="E6" s="30">
        <f>IFERROR(INDEX(FtName,MATCH(E5,FtGilt,0)),"")</f>
        <v/>
      </c>
      <c r="F6" s="30">
        <f>IFERROR(INDEX(FtName,MATCH(F5,FtGilt,0)),"")</f>
        <v/>
      </c>
      <c r="G6" s="30">
        <f>IFERROR(INDEX(FtName,MATCH(G5,FtGilt,0)),"")</f>
        <v/>
      </c>
      <c r="H6" s="30">
        <f>IFERROR(INDEX(FtName,MATCH(H5,FtGilt,0)),"")</f>
        <v/>
      </c>
    </row>
    <row r="7" ht="44" customHeight="1">
      <c r="A7" s="31" t="n"/>
      <c r="B7" s="32" t="n"/>
      <c r="C7" s="32" t="n"/>
      <c r="D7" s="32" t="n"/>
      <c r="E7" s="32" t="n"/>
      <c r="F7" s="32" t="n"/>
      <c r="G7" s="32" t="n"/>
      <c r="H7" s="32" t="n"/>
    </row>
    <row r="8" ht="18" customHeight="1">
      <c r="A8" s="27">
        <f>_xlfn.ISOWEEKNUM(B8)</f>
        <v/>
      </c>
      <c r="B8" s="28">
        <f>(DATE(Jahr,12,1)-WEEKDAY(DATE(Jahr,12,1),2)+1)+7</f>
        <v/>
      </c>
      <c r="C8" s="28">
        <f>(DATE(Jahr,12,1)-WEEKDAY(DATE(Jahr,12,1),2)+1)+8</f>
        <v/>
      </c>
      <c r="D8" s="28">
        <f>(DATE(Jahr,12,1)-WEEKDAY(DATE(Jahr,12,1),2)+1)+9</f>
        <v/>
      </c>
      <c r="E8" s="28">
        <f>(DATE(Jahr,12,1)-WEEKDAY(DATE(Jahr,12,1),2)+1)+10</f>
        <v/>
      </c>
      <c r="F8" s="28">
        <f>(DATE(Jahr,12,1)-WEEKDAY(DATE(Jahr,12,1),2)+1)+11</f>
        <v/>
      </c>
      <c r="G8" s="28">
        <f>(DATE(Jahr,12,1)-WEEKDAY(DATE(Jahr,12,1),2)+1)+12</f>
        <v/>
      </c>
      <c r="H8" s="28">
        <f>(DATE(Jahr,12,1)-WEEKDAY(DATE(Jahr,12,1),2)+1)+13</f>
        <v/>
      </c>
    </row>
    <row r="9" ht="12" customHeight="1">
      <c r="A9" s="29" t="n"/>
      <c r="B9" s="30">
        <f>IFERROR(INDEX(FtName,MATCH(B8,FtGilt,0)),"")</f>
        <v/>
      </c>
      <c r="C9" s="30">
        <f>IFERROR(INDEX(FtName,MATCH(C8,FtGilt,0)),"")</f>
        <v/>
      </c>
      <c r="D9" s="30">
        <f>IFERROR(INDEX(FtName,MATCH(D8,FtGilt,0)),"")</f>
        <v/>
      </c>
      <c r="E9" s="30">
        <f>IFERROR(INDEX(FtName,MATCH(E8,FtGilt,0)),"")</f>
        <v/>
      </c>
      <c r="F9" s="30">
        <f>IFERROR(INDEX(FtName,MATCH(F8,FtGilt,0)),"")</f>
        <v/>
      </c>
      <c r="G9" s="30">
        <f>IFERROR(INDEX(FtName,MATCH(G8,FtGilt,0)),"")</f>
        <v/>
      </c>
      <c r="H9" s="30">
        <f>IFERROR(INDEX(FtName,MATCH(H8,FtGilt,0)),"")</f>
        <v/>
      </c>
    </row>
    <row r="10" ht="44" customHeight="1">
      <c r="A10" s="31" t="n"/>
      <c r="B10" s="32" t="n"/>
      <c r="C10" s="32" t="n"/>
      <c r="D10" s="32" t="n"/>
      <c r="E10" s="32" t="n"/>
      <c r="F10" s="32" t="n"/>
      <c r="G10" s="32" t="n"/>
      <c r="H10" s="32" t="n"/>
    </row>
    <row r="11" ht="18" customHeight="1">
      <c r="A11" s="27">
        <f>_xlfn.ISOWEEKNUM(B11)</f>
        <v/>
      </c>
      <c r="B11" s="28">
        <f>(DATE(Jahr,12,1)-WEEKDAY(DATE(Jahr,12,1),2)+1)+14</f>
        <v/>
      </c>
      <c r="C11" s="28">
        <f>(DATE(Jahr,12,1)-WEEKDAY(DATE(Jahr,12,1),2)+1)+15</f>
        <v/>
      </c>
      <c r="D11" s="28">
        <f>(DATE(Jahr,12,1)-WEEKDAY(DATE(Jahr,12,1),2)+1)+16</f>
        <v/>
      </c>
      <c r="E11" s="28">
        <f>(DATE(Jahr,12,1)-WEEKDAY(DATE(Jahr,12,1),2)+1)+17</f>
        <v/>
      </c>
      <c r="F11" s="28">
        <f>(DATE(Jahr,12,1)-WEEKDAY(DATE(Jahr,12,1),2)+1)+18</f>
        <v/>
      </c>
      <c r="G11" s="28">
        <f>(DATE(Jahr,12,1)-WEEKDAY(DATE(Jahr,12,1),2)+1)+19</f>
        <v/>
      </c>
      <c r="H11" s="28">
        <f>(DATE(Jahr,12,1)-WEEKDAY(DATE(Jahr,12,1),2)+1)+20</f>
        <v/>
      </c>
    </row>
    <row r="12" ht="12" customHeight="1">
      <c r="A12" s="29" t="n"/>
      <c r="B12" s="30">
        <f>IFERROR(INDEX(FtName,MATCH(B11,FtGilt,0)),"")</f>
        <v/>
      </c>
      <c r="C12" s="30">
        <f>IFERROR(INDEX(FtName,MATCH(C11,FtGilt,0)),"")</f>
        <v/>
      </c>
      <c r="D12" s="30">
        <f>IFERROR(INDEX(FtName,MATCH(D11,FtGilt,0)),"")</f>
        <v/>
      </c>
      <c r="E12" s="30">
        <f>IFERROR(INDEX(FtName,MATCH(E11,FtGilt,0)),"")</f>
        <v/>
      </c>
      <c r="F12" s="30">
        <f>IFERROR(INDEX(FtName,MATCH(F11,FtGilt,0)),"")</f>
        <v/>
      </c>
      <c r="G12" s="30">
        <f>IFERROR(INDEX(FtName,MATCH(G11,FtGilt,0)),"")</f>
        <v/>
      </c>
      <c r="H12" s="30">
        <f>IFERROR(INDEX(FtName,MATCH(H11,FtGilt,0)),"")</f>
        <v/>
      </c>
    </row>
    <row r="13" ht="44" customHeight="1">
      <c r="A13" s="31" t="n"/>
      <c r="B13" s="32" t="n"/>
      <c r="C13" s="32" t="n"/>
      <c r="D13" s="32" t="n"/>
      <c r="E13" s="32" t="n"/>
      <c r="F13" s="32" t="n"/>
      <c r="G13" s="32" t="n"/>
      <c r="H13" s="32" t="n"/>
    </row>
    <row r="14" ht="18" customHeight="1">
      <c r="A14" s="27">
        <f>_xlfn.ISOWEEKNUM(B14)</f>
        <v/>
      </c>
      <c r="B14" s="28">
        <f>(DATE(Jahr,12,1)-WEEKDAY(DATE(Jahr,12,1),2)+1)+21</f>
        <v/>
      </c>
      <c r="C14" s="28">
        <f>(DATE(Jahr,12,1)-WEEKDAY(DATE(Jahr,12,1),2)+1)+22</f>
        <v/>
      </c>
      <c r="D14" s="28">
        <f>(DATE(Jahr,12,1)-WEEKDAY(DATE(Jahr,12,1),2)+1)+23</f>
        <v/>
      </c>
      <c r="E14" s="28">
        <f>(DATE(Jahr,12,1)-WEEKDAY(DATE(Jahr,12,1),2)+1)+24</f>
        <v/>
      </c>
      <c r="F14" s="28">
        <f>(DATE(Jahr,12,1)-WEEKDAY(DATE(Jahr,12,1),2)+1)+25</f>
        <v/>
      </c>
      <c r="G14" s="28">
        <f>(DATE(Jahr,12,1)-WEEKDAY(DATE(Jahr,12,1),2)+1)+26</f>
        <v/>
      </c>
      <c r="H14" s="28">
        <f>(DATE(Jahr,12,1)-WEEKDAY(DATE(Jahr,12,1),2)+1)+27</f>
        <v/>
      </c>
    </row>
    <row r="15" ht="12" customHeight="1">
      <c r="A15" s="29" t="n"/>
      <c r="B15" s="30">
        <f>IFERROR(INDEX(FtName,MATCH(B14,FtGilt,0)),"")</f>
        <v/>
      </c>
      <c r="C15" s="30">
        <f>IFERROR(INDEX(FtName,MATCH(C14,FtGilt,0)),"")</f>
        <v/>
      </c>
      <c r="D15" s="30">
        <f>IFERROR(INDEX(FtName,MATCH(D14,FtGilt,0)),"")</f>
        <v/>
      </c>
      <c r="E15" s="30">
        <f>IFERROR(INDEX(FtName,MATCH(E14,FtGilt,0)),"")</f>
        <v/>
      </c>
      <c r="F15" s="30">
        <f>IFERROR(INDEX(FtName,MATCH(F14,FtGilt,0)),"")</f>
        <v/>
      </c>
      <c r="G15" s="30">
        <f>IFERROR(INDEX(FtName,MATCH(G14,FtGilt,0)),"")</f>
        <v/>
      </c>
      <c r="H15" s="30">
        <f>IFERROR(INDEX(FtName,MATCH(H14,FtGilt,0)),"")</f>
        <v/>
      </c>
    </row>
    <row r="16" ht="44" customHeight="1">
      <c r="A16" s="31" t="n"/>
      <c r="B16" s="32" t="n"/>
      <c r="C16" s="32" t="n"/>
      <c r="D16" s="32" t="n"/>
      <c r="E16" s="32" t="n"/>
      <c r="F16" s="32" t="n"/>
      <c r="G16" s="32" t="n"/>
      <c r="H16" s="32" t="n"/>
    </row>
    <row r="17" ht="18" customHeight="1">
      <c r="A17" s="27">
        <f>_xlfn.ISOWEEKNUM(B17)</f>
        <v/>
      </c>
      <c r="B17" s="28">
        <f>(DATE(Jahr,12,1)-WEEKDAY(DATE(Jahr,12,1),2)+1)+28</f>
        <v/>
      </c>
      <c r="C17" s="28">
        <f>(DATE(Jahr,12,1)-WEEKDAY(DATE(Jahr,12,1),2)+1)+29</f>
        <v/>
      </c>
      <c r="D17" s="28">
        <f>(DATE(Jahr,12,1)-WEEKDAY(DATE(Jahr,12,1),2)+1)+30</f>
        <v/>
      </c>
      <c r="E17" s="28">
        <f>(DATE(Jahr,12,1)-WEEKDAY(DATE(Jahr,12,1),2)+1)+31</f>
        <v/>
      </c>
      <c r="F17" s="28">
        <f>(DATE(Jahr,12,1)-WEEKDAY(DATE(Jahr,12,1),2)+1)+32</f>
        <v/>
      </c>
      <c r="G17" s="28">
        <f>(DATE(Jahr,12,1)-WEEKDAY(DATE(Jahr,12,1),2)+1)+33</f>
        <v/>
      </c>
      <c r="H17" s="28">
        <f>(DATE(Jahr,12,1)-WEEKDAY(DATE(Jahr,12,1),2)+1)+34</f>
        <v/>
      </c>
    </row>
    <row r="18" ht="12" customHeight="1">
      <c r="A18" s="29" t="n"/>
      <c r="B18" s="30">
        <f>IFERROR(INDEX(FtName,MATCH(B17,FtGilt,0)),"")</f>
        <v/>
      </c>
      <c r="C18" s="30">
        <f>IFERROR(INDEX(FtName,MATCH(C17,FtGilt,0)),"")</f>
        <v/>
      </c>
      <c r="D18" s="30">
        <f>IFERROR(INDEX(FtName,MATCH(D17,FtGilt,0)),"")</f>
        <v/>
      </c>
      <c r="E18" s="30">
        <f>IFERROR(INDEX(FtName,MATCH(E17,FtGilt,0)),"")</f>
        <v/>
      </c>
      <c r="F18" s="30">
        <f>IFERROR(INDEX(FtName,MATCH(F17,FtGilt,0)),"")</f>
        <v/>
      </c>
      <c r="G18" s="30">
        <f>IFERROR(INDEX(FtName,MATCH(G17,FtGilt,0)),"")</f>
        <v/>
      </c>
      <c r="H18" s="30">
        <f>IFERROR(INDEX(FtName,MATCH(H17,FtGilt,0)),"")</f>
        <v/>
      </c>
    </row>
    <row r="19" ht="44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</row>
    <row r="20" ht="18" customHeight="1">
      <c r="A20" s="27">
        <f>_xlfn.ISOWEEKNUM(B20)</f>
        <v/>
      </c>
      <c r="B20" s="28">
        <f>(DATE(Jahr,12,1)-WEEKDAY(DATE(Jahr,12,1),2)+1)+35</f>
        <v/>
      </c>
      <c r="C20" s="28">
        <f>(DATE(Jahr,12,1)-WEEKDAY(DATE(Jahr,12,1),2)+1)+36</f>
        <v/>
      </c>
      <c r="D20" s="28">
        <f>(DATE(Jahr,12,1)-WEEKDAY(DATE(Jahr,12,1),2)+1)+37</f>
        <v/>
      </c>
      <c r="E20" s="28">
        <f>(DATE(Jahr,12,1)-WEEKDAY(DATE(Jahr,12,1),2)+1)+38</f>
        <v/>
      </c>
      <c r="F20" s="28">
        <f>(DATE(Jahr,12,1)-WEEKDAY(DATE(Jahr,12,1),2)+1)+39</f>
        <v/>
      </c>
      <c r="G20" s="28">
        <f>(DATE(Jahr,12,1)-WEEKDAY(DATE(Jahr,12,1),2)+1)+40</f>
        <v/>
      </c>
      <c r="H20" s="28">
        <f>(DATE(Jahr,12,1)-WEEKDAY(DATE(Jahr,12,1),2)+1)+41</f>
        <v/>
      </c>
    </row>
    <row r="21" ht="12" customHeight="1">
      <c r="A21" s="29" t="n"/>
      <c r="B21" s="30">
        <f>IFERROR(INDEX(FtName,MATCH(B20,FtGilt,0)),"")</f>
        <v/>
      </c>
      <c r="C21" s="30">
        <f>IFERROR(INDEX(FtName,MATCH(C20,FtGilt,0)),"")</f>
        <v/>
      </c>
      <c r="D21" s="30">
        <f>IFERROR(INDEX(FtName,MATCH(D20,FtGilt,0)),"")</f>
        <v/>
      </c>
      <c r="E21" s="30">
        <f>IFERROR(INDEX(FtName,MATCH(E20,FtGilt,0)),"")</f>
        <v/>
      </c>
      <c r="F21" s="30">
        <f>IFERROR(INDEX(FtName,MATCH(F20,FtGilt,0)),"")</f>
        <v/>
      </c>
      <c r="G21" s="30">
        <f>IFERROR(INDEX(FtName,MATCH(G20,FtGilt,0)),"")</f>
        <v/>
      </c>
      <c r="H21" s="30">
        <f>IFERROR(INDEX(FtName,MATCH(H20,FtGilt,0)),"")</f>
        <v/>
      </c>
    </row>
    <row r="22" ht="44" customHeight="1">
      <c r="A22" s="31" t="n"/>
      <c r="B22" s="32" t="n"/>
      <c r="C22" s="32" t="n"/>
      <c r="D22" s="32" t="n"/>
      <c r="E22" s="32" t="n"/>
      <c r="F22" s="32" t="n"/>
      <c r="G22" s="32" t="n"/>
      <c r="H22" s="32" t="n"/>
    </row>
    <row r="24">
      <c r="A24" s="33" t="inlineStr">
        <is>
          <t>Notizen</t>
        </is>
      </c>
    </row>
    <row r="25" ht="20" customHeight="1">
      <c r="A25" s="34" t="n"/>
      <c r="B25" s="8" t="n"/>
      <c r="C25" s="8" t="n"/>
      <c r="D25" s="8" t="n"/>
      <c r="E25" s="8" t="n"/>
      <c r="F25" s="8" t="n"/>
      <c r="G25" s="8" t="n"/>
      <c r="H25" s="9" t="n"/>
    </row>
    <row r="26" ht="20" customHeight="1">
      <c r="A26" s="34" t="n"/>
      <c r="B26" s="8" t="n"/>
      <c r="C26" s="8" t="n"/>
      <c r="D26" s="8" t="n"/>
      <c r="E26" s="8" t="n"/>
      <c r="F26" s="8" t="n"/>
      <c r="G26" s="8" t="n"/>
      <c r="H26" s="9" t="n"/>
    </row>
    <row r="27" ht="20" customHeight="1">
      <c r="A27" s="34" t="n"/>
      <c r="B27" s="8" t="n"/>
      <c r="C27" s="8" t="n"/>
      <c r="D27" s="8" t="n"/>
      <c r="E27" s="8" t="n"/>
      <c r="F27" s="8" t="n"/>
      <c r="G27" s="8" t="n"/>
      <c r="H27" s="9" t="n"/>
    </row>
  </sheetData>
  <mergeCells count="9">
    <mergeCell ref="A26:H26"/>
    <mergeCell ref="A8:A10"/>
    <mergeCell ref="A25:H25"/>
    <mergeCell ref="A17:A19"/>
    <mergeCell ref="A20:A22"/>
    <mergeCell ref="A11:A13"/>
    <mergeCell ref="A5:A7"/>
    <mergeCell ref="A14:A16"/>
    <mergeCell ref="A27:H27"/>
  </mergeCells>
  <conditionalFormatting sqref="B5:B7">
    <cfRule type="expression" priority="1" dxfId="3" stopIfTrue="1">
      <formula>MONTH(B$5)&lt;&gt;12</formula>
    </cfRule>
    <cfRule type="expression" priority="2" dxfId="0">
      <formula>AND(B$5&lt;&gt;"",COUNTIF(FtGilt,B$5)&gt;0)</formula>
    </cfRule>
    <cfRule type="expression" priority="3" dxfId="1">
      <formula>AND(B$5&lt;&gt;"",SUMPRODUCT(FerAktiv*(FerVon&lt;=B$5)*(FerBis&gt;=B$5))&gt;0)</formula>
    </cfRule>
    <cfRule type="expression" priority="4" dxfId="2">
      <formula>AND(B$5&lt;&gt;"",WEEKDAY(B$5,2)&gt;5)</formula>
    </cfRule>
  </conditionalFormatting>
  <conditionalFormatting sqref="C5:C7">
    <cfRule type="expression" priority="5" dxfId="3" stopIfTrue="1">
      <formula>MONTH(C$5)&lt;&gt;12</formula>
    </cfRule>
    <cfRule type="expression" priority="6" dxfId="0">
      <formula>AND(C$5&lt;&gt;"",COUNTIF(FtGilt,C$5)&gt;0)</formula>
    </cfRule>
    <cfRule type="expression" priority="7" dxfId="1">
      <formula>AND(C$5&lt;&gt;"",SUMPRODUCT(FerAktiv*(FerVon&lt;=C$5)*(FerBis&gt;=C$5))&gt;0)</formula>
    </cfRule>
    <cfRule type="expression" priority="8" dxfId="2">
      <formula>AND(C$5&lt;&gt;"",WEEKDAY(C$5,2)&gt;5)</formula>
    </cfRule>
  </conditionalFormatting>
  <conditionalFormatting sqref="D5:D7">
    <cfRule type="expression" priority="9" dxfId="3" stopIfTrue="1">
      <formula>MONTH(D$5)&lt;&gt;12</formula>
    </cfRule>
    <cfRule type="expression" priority="10" dxfId="0">
      <formula>AND(D$5&lt;&gt;"",COUNTIF(FtGilt,D$5)&gt;0)</formula>
    </cfRule>
    <cfRule type="expression" priority="11" dxfId="1">
      <formula>AND(D$5&lt;&gt;"",SUMPRODUCT(FerAktiv*(FerVon&lt;=D$5)*(FerBis&gt;=D$5))&gt;0)</formula>
    </cfRule>
    <cfRule type="expression" priority="12" dxfId="2">
      <formula>AND(D$5&lt;&gt;"",WEEKDAY(D$5,2)&gt;5)</formula>
    </cfRule>
  </conditionalFormatting>
  <conditionalFormatting sqref="E5:E7">
    <cfRule type="expression" priority="13" dxfId="3" stopIfTrue="1">
      <formula>MONTH(E$5)&lt;&gt;12</formula>
    </cfRule>
    <cfRule type="expression" priority="14" dxfId="0">
      <formula>AND(E$5&lt;&gt;"",COUNTIF(FtGilt,E$5)&gt;0)</formula>
    </cfRule>
    <cfRule type="expression" priority="15" dxfId="1">
      <formula>AND(E$5&lt;&gt;"",SUMPRODUCT(FerAktiv*(FerVon&lt;=E$5)*(FerBis&gt;=E$5))&gt;0)</formula>
    </cfRule>
    <cfRule type="expression" priority="16" dxfId="2">
      <formula>AND(E$5&lt;&gt;"",WEEKDAY(E$5,2)&gt;5)</formula>
    </cfRule>
  </conditionalFormatting>
  <conditionalFormatting sqref="F5:F7">
    <cfRule type="expression" priority="17" dxfId="3" stopIfTrue="1">
      <formula>MONTH(F$5)&lt;&gt;12</formula>
    </cfRule>
    <cfRule type="expression" priority="18" dxfId="0">
      <formula>AND(F$5&lt;&gt;"",COUNTIF(FtGilt,F$5)&gt;0)</formula>
    </cfRule>
    <cfRule type="expression" priority="19" dxfId="1">
      <formula>AND(F$5&lt;&gt;"",SUMPRODUCT(FerAktiv*(FerVon&lt;=F$5)*(FerBis&gt;=F$5))&gt;0)</formula>
    </cfRule>
    <cfRule type="expression" priority="20" dxfId="2">
      <formula>AND(F$5&lt;&gt;"",WEEKDAY(F$5,2)&gt;5)</formula>
    </cfRule>
  </conditionalFormatting>
  <conditionalFormatting sqref="G5:G7">
    <cfRule type="expression" priority="21" dxfId="3" stopIfTrue="1">
      <formula>MONTH(G$5)&lt;&gt;12</formula>
    </cfRule>
    <cfRule type="expression" priority="22" dxfId="0">
      <formula>AND(G$5&lt;&gt;"",COUNTIF(FtGilt,G$5)&gt;0)</formula>
    </cfRule>
    <cfRule type="expression" priority="23" dxfId="1">
      <formula>AND(G$5&lt;&gt;"",SUMPRODUCT(FerAktiv*(FerVon&lt;=G$5)*(FerBis&gt;=G$5))&gt;0)</formula>
    </cfRule>
    <cfRule type="expression" priority="24" dxfId="2">
      <formula>AND(G$5&lt;&gt;"",WEEKDAY(G$5,2)&gt;5)</formula>
    </cfRule>
  </conditionalFormatting>
  <conditionalFormatting sqref="H5:H7">
    <cfRule type="expression" priority="25" dxfId="3" stopIfTrue="1">
      <formula>MONTH(H$5)&lt;&gt;12</formula>
    </cfRule>
    <cfRule type="expression" priority="26" dxfId="0">
      <formula>AND(H$5&lt;&gt;"",COUNTIF(FtGilt,H$5)&gt;0)</formula>
    </cfRule>
    <cfRule type="expression" priority="27" dxfId="1">
      <formula>AND(H$5&lt;&gt;"",SUMPRODUCT(FerAktiv*(FerVon&lt;=H$5)*(FerBis&gt;=H$5))&gt;0)</formula>
    </cfRule>
    <cfRule type="expression" priority="28" dxfId="2">
      <formula>AND(H$5&lt;&gt;"",WEEKDAY(H$5,2)&gt;5)</formula>
    </cfRule>
  </conditionalFormatting>
  <conditionalFormatting sqref="B8:B10">
    <cfRule type="expression" priority="29" dxfId="3" stopIfTrue="1">
      <formula>MONTH(B$8)&lt;&gt;12</formula>
    </cfRule>
    <cfRule type="expression" priority="30" dxfId="0">
      <formula>AND(B$8&lt;&gt;"",COUNTIF(FtGilt,B$8)&gt;0)</formula>
    </cfRule>
    <cfRule type="expression" priority="31" dxfId="1">
      <formula>AND(B$8&lt;&gt;"",SUMPRODUCT(FerAktiv*(FerVon&lt;=B$8)*(FerBis&gt;=B$8))&gt;0)</formula>
    </cfRule>
    <cfRule type="expression" priority="32" dxfId="2">
      <formula>AND(B$8&lt;&gt;"",WEEKDAY(B$8,2)&gt;5)</formula>
    </cfRule>
  </conditionalFormatting>
  <conditionalFormatting sqref="C8:C10">
    <cfRule type="expression" priority="33" dxfId="3" stopIfTrue="1">
      <formula>MONTH(C$8)&lt;&gt;12</formula>
    </cfRule>
    <cfRule type="expression" priority="34" dxfId="0">
      <formula>AND(C$8&lt;&gt;"",COUNTIF(FtGilt,C$8)&gt;0)</formula>
    </cfRule>
    <cfRule type="expression" priority="35" dxfId="1">
      <formula>AND(C$8&lt;&gt;"",SUMPRODUCT(FerAktiv*(FerVon&lt;=C$8)*(FerBis&gt;=C$8))&gt;0)</formula>
    </cfRule>
    <cfRule type="expression" priority="36" dxfId="2">
      <formula>AND(C$8&lt;&gt;"",WEEKDAY(C$8,2)&gt;5)</formula>
    </cfRule>
  </conditionalFormatting>
  <conditionalFormatting sqref="D8:D10">
    <cfRule type="expression" priority="37" dxfId="3" stopIfTrue="1">
      <formula>MONTH(D$8)&lt;&gt;12</formula>
    </cfRule>
    <cfRule type="expression" priority="38" dxfId="0">
      <formula>AND(D$8&lt;&gt;"",COUNTIF(FtGilt,D$8)&gt;0)</formula>
    </cfRule>
    <cfRule type="expression" priority="39" dxfId="1">
      <formula>AND(D$8&lt;&gt;"",SUMPRODUCT(FerAktiv*(FerVon&lt;=D$8)*(FerBis&gt;=D$8))&gt;0)</formula>
    </cfRule>
    <cfRule type="expression" priority="40" dxfId="2">
      <formula>AND(D$8&lt;&gt;"",WEEKDAY(D$8,2)&gt;5)</formula>
    </cfRule>
  </conditionalFormatting>
  <conditionalFormatting sqref="E8:E10">
    <cfRule type="expression" priority="41" dxfId="3" stopIfTrue="1">
      <formula>MONTH(E$8)&lt;&gt;12</formula>
    </cfRule>
    <cfRule type="expression" priority="42" dxfId="0">
      <formula>AND(E$8&lt;&gt;"",COUNTIF(FtGilt,E$8)&gt;0)</formula>
    </cfRule>
    <cfRule type="expression" priority="43" dxfId="1">
      <formula>AND(E$8&lt;&gt;"",SUMPRODUCT(FerAktiv*(FerVon&lt;=E$8)*(FerBis&gt;=E$8))&gt;0)</formula>
    </cfRule>
    <cfRule type="expression" priority="44" dxfId="2">
      <formula>AND(E$8&lt;&gt;"",WEEKDAY(E$8,2)&gt;5)</formula>
    </cfRule>
  </conditionalFormatting>
  <conditionalFormatting sqref="F8:F10">
    <cfRule type="expression" priority="45" dxfId="3" stopIfTrue="1">
      <formula>MONTH(F$8)&lt;&gt;12</formula>
    </cfRule>
    <cfRule type="expression" priority="46" dxfId="0">
      <formula>AND(F$8&lt;&gt;"",COUNTIF(FtGilt,F$8)&gt;0)</formula>
    </cfRule>
    <cfRule type="expression" priority="47" dxfId="1">
      <formula>AND(F$8&lt;&gt;"",SUMPRODUCT(FerAktiv*(FerVon&lt;=F$8)*(FerBis&gt;=F$8))&gt;0)</formula>
    </cfRule>
    <cfRule type="expression" priority="48" dxfId="2">
      <formula>AND(F$8&lt;&gt;"",WEEKDAY(F$8,2)&gt;5)</formula>
    </cfRule>
  </conditionalFormatting>
  <conditionalFormatting sqref="G8:G10">
    <cfRule type="expression" priority="49" dxfId="3" stopIfTrue="1">
      <formula>MONTH(G$8)&lt;&gt;12</formula>
    </cfRule>
    <cfRule type="expression" priority="50" dxfId="0">
      <formula>AND(G$8&lt;&gt;"",COUNTIF(FtGilt,G$8)&gt;0)</formula>
    </cfRule>
    <cfRule type="expression" priority="51" dxfId="1">
      <formula>AND(G$8&lt;&gt;"",SUMPRODUCT(FerAktiv*(FerVon&lt;=G$8)*(FerBis&gt;=G$8))&gt;0)</formula>
    </cfRule>
    <cfRule type="expression" priority="52" dxfId="2">
      <formula>AND(G$8&lt;&gt;"",WEEKDAY(G$8,2)&gt;5)</formula>
    </cfRule>
  </conditionalFormatting>
  <conditionalFormatting sqref="H8:H10">
    <cfRule type="expression" priority="53" dxfId="3" stopIfTrue="1">
      <formula>MONTH(H$8)&lt;&gt;12</formula>
    </cfRule>
    <cfRule type="expression" priority="54" dxfId="0">
      <formula>AND(H$8&lt;&gt;"",COUNTIF(FtGilt,H$8)&gt;0)</formula>
    </cfRule>
    <cfRule type="expression" priority="55" dxfId="1">
      <formula>AND(H$8&lt;&gt;"",SUMPRODUCT(FerAktiv*(FerVon&lt;=H$8)*(FerBis&gt;=H$8))&gt;0)</formula>
    </cfRule>
    <cfRule type="expression" priority="56" dxfId="2">
      <formula>AND(H$8&lt;&gt;"",WEEKDAY(H$8,2)&gt;5)</formula>
    </cfRule>
  </conditionalFormatting>
  <conditionalFormatting sqref="B11:B13">
    <cfRule type="expression" priority="57" dxfId="3" stopIfTrue="1">
      <formula>MONTH(B$11)&lt;&gt;12</formula>
    </cfRule>
    <cfRule type="expression" priority="58" dxfId="0">
      <formula>AND(B$11&lt;&gt;"",COUNTIF(FtGilt,B$11)&gt;0)</formula>
    </cfRule>
    <cfRule type="expression" priority="59" dxfId="1">
      <formula>AND(B$11&lt;&gt;"",SUMPRODUCT(FerAktiv*(FerVon&lt;=B$11)*(FerBis&gt;=B$11))&gt;0)</formula>
    </cfRule>
    <cfRule type="expression" priority="60" dxfId="2">
      <formula>AND(B$11&lt;&gt;"",WEEKDAY(B$11,2)&gt;5)</formula>
    </cfRule>
  </conditionalFormatting>
  <conditionalFormatting sqref="C11:C13">
    <cfRule type="expression" priority="61" dxfId="3" stopIfTrue="1">
      <formula>MONTH(C$11)&lt;&gt;12</formula>
    </cfRule>
    <cfRule type="expression" priority="62" dxfId="0">
      <formula>AND(C$11&lt;&gt;"",COUNTIF(FtGilt,C$11)&gt;0)</formula>
    </cfRule>
    <cfRule type="expression" priority="63" dxfId="1">
      <formula>AND(C$11&lt;&gt;"",SUMPRODUCT(FerAktiv*(FerVon&lt;=C$11)*(FerBis&gt;=C$11))&gt;0)</formula>
    </cfRule>
    <cfRule type="expression" priority="64" dxfId="2">
      <formula>AND(C$11&lt;&gt;"",WEEKDAY(C$11,2)&gt;5)</formula>
    </cfRule>
  </conditionalFormatting>
  <conditionalFormatting sqref="D11:D13">
    <cfRule type="expression" priority="65" dxfId="3" stopIfTrue="1">
      <formula>MONTH(D$11)&lt;&gt;12</formula>
    </cfRule>
    <cfRule type="expression" priority="66" dxfId="0">
      <formula>AND(D$11&lt;&gt;"",COUNTIF(FtGilt,D$11)&gt;0)</formula>
    </cfRule>
    <cfRule type="expression" priority="67" dxfId="1">
      <formula>AND(D$11&lt;&gt;"",SUMPRODUCT(FerAktiv*(FerVon&lt;=D$11)*(FerBis&gt;=D$11))&gt;0)</formula>
    </cfRule>
    <cfRule type="expression" priority="68" dxfId="2">
      <formula>AND(D$11&lt;&gt;"",WEEKDAY(D$11,2)&gt;5)</formula>
    </cfRule>
  </conditionalFormatting>
  <conditionalFormatting sqref="E11:E13">
    <cfRule type="expression" priority="69" dxfId="3" stopIfTrue="1">
      <formula>MONTH(E$11)&lt;&gt;12</formula>
    </cfRule>
    <cfRule type="expression" priority="70" dxfId="0">
      <formula>AND(E$11&lt;&gt;"",COUNTIF(FtGilt,E$11)&gt;0)</formula>
    </cfRule>
    <cfRule type="expression" priority="71" dxfId="1">
      <formula>AND(E$11&lt;&gt;"",SUMPRODUCT(FerAktiv*(FerVon&lt;=E$11)*(FerBis&gt;=E$11))&gt;0)</formula>
    </cfRule>
    <cfRule type="expression" priority="72" dxfId="2">
      <formula>AND(E$11&lt;&gt;"",WEEKDAY(E$11,2)&gt;5)</formula>
    </cfRule>
  </conditionalFormatting>
  <conditionalFormatting sqref="F11:F13">
    <cfRule type="expression" priority="73" dxfId="3" stopIfTrue="1">
      <formula>MONTH(F$11)&lt;&gt;12</formula>
    </cfRule>
    <cfRule type="expression" priority="74" dxfId="0">
      <formula>AND(F$11&lt;&gt;"",COUNTIF(FtGilt,F$11)&gt;0)</formula>
    </cfRule>
    <cfRule type="expression" priority="75" dxfId="1">
      <formula>AND(F$11&lt;&gt;"",SUMPRODUCT(FerAktiv*(FerVon&lt;=F$11)*(FerBis&gt;=F$11))&gt;0)</formula>
    </cfRule>
    <cfRule type="expression" priority="76" dxfId="2">
      <formula>AND(F$11&lt;&gt;"",WEEKDAY(F$11,2)&gt;5)</formula>
    </cfRule>
  </conditionalFormatting>
  <conditionalFormatting sqref="G11:G13">
    <cfRule type="expression" priority="77" dxfId="3" stopIfTrue="1">
      <formula>MONTH(G$11)&lt;&gt;12</formula>
    </cfRule>
    <cfRule type="expression" priority="78" dxfId="0">
      <formula>AND(G$11&lt;&gt;"",COUNTIF(FtGilt,G$11)&gt;0)</formula>
    </cfRule>
    <cfRule type="expression" priority="79" dxfId="1">
      <formula>AND(G$11&lt;&gt;"",SUMPRODUCT(FerAktiv*(FerVon&lt;=G$11)*(FerBis&gt;=G$11))&gt;0)</formula>
    </cfRule>
    <cfRule type="expression" priority="80" dxfId="2">
      <formula>AND(G$11&lt;&gt;"",WEEKDAY(G$11,2)&gt;5)</formula>
    </cfRule>
  </conditionalFormatting>
  <conditionalFormatting sqref="H11:H13">
    <cfRule type="expression" priority="81" dxfId="3" stopIfTrue="1">
      <formula>MONTH(H$11)&lt;&gt;12</formula>
    </cfRule>
    <cfRule type="expression" priority="82" dxfId="0">
      <formula>AND(H$11&lt;&gt;"",COUNTIF(FtGilt,H$11)&gt;0)</formula>
    </cfRule>
    <cfRule type="expression" priority="83" dxfId="1">
      <formula>AND(H$11&lt;&gt;"",SUMPRODUCT(FerAktiv*(FerVon&lt;=H$11)*(FerBis&gt;=H$11))&gt;0)</formula>
    </cfRule>
    <cfRule type="expression" priority="84" dxfId="2">
      <formula>AND(H$11&lt;&gt;"",WEEKDAY(H$11,2)&gt;5)</formula>
    </cfRule>
  </conditionalFormatting>
  <conditionalFormatting sqref="B14:B16">
    <cfRule type="expression" priority="85" dxfId="3" stopIfTrue="1">
      <formula>MONTH(B$14)&lt;&gt;12</formula>
    </cfRule>
    <cfRule type="expression" priority="86" dxfId="0">
      <formula>AND(B$14&lt;&gt;"",COUNTIF(FtGilt,B$14)&gt;0)</formula>
    </cfRule>
    <cfRule type="expression" priority="87" dxfId="1">
      <formula>AND(B$14&lt;&gt;"",SUMPRODUCT(FerAktiv*(FerVon&lt;=B$14)*(FerBis&gt;=B$14))&gt;0)</formula>
    </cfRule>
    <cfRule type="expression" priority="88" dxfId="2">
      <formula>AND(B$14&lt;&gt;"",WEEKDAY(B$14,2)&gt;5)</formula>
    </cfRule>
  </conditionalFormatting>
  <conditionalFormatting sqref="C14:C16">
    <cfRule type="expression" priority="89" dxfId="3" stopIfTrue="1">
      <formula>MONTH(C$14)&lt;&gt;12</formula>
    </cfRule>
    <cfRule type="expression" priority="90" dxfId="0">
      <formula>AND(C$14&lt;&gt;"",COUNTIF(FtGilt,C$14)&gt;0)</formula>
    </cfRule>
    <cfRule type="expression" priority="91" dxfId="1">
      <formula>AND(C$14&lt;&gt;"",SUMPRODUCT(FerAktiv*(FerVon&lt;=C$14)*(FerBis&gt;=C$14))&gt;0)</formula>
    </cfRule>
    <cfRule type="expression" priority="92" dxfId="2">
      <formula>AND(C$14&lt;&gt;"",WEEKDAY(C$14,2)&gt;5)</formula>
    </cfRule>
  </conditionalFormatting>
  <conditionalFormatting sqref="D14:D16">
    <cfRule type="expression" priority="93" dxfId="3" stopIfTrue="1">
      <formula>MONTH(D$14)&lt;&gt;12</formula>
    </cfRule>
    <cfRule type="expression" priority="94" dxfId="0">
      <formula>AND(D$14&lt;&gt;"",COUNTIF(FtGilt,D$14)&gt;0)</formula>
    </cfRule>
    <cfRule type="expression" priority="95" dxfId="1">
      <formula>AND(D$14&lt;&gt;"",SUMPRODUCT(FerAktiv*(FerVon&lt;=D$14)*(FerBis&gt;=D$14))&gt;0)</formula>
    </cfRule>
    <cfRule type="expression" priority="96" dxfId="2">
      <formula>AND(D$14&lt;&gt;"",WEEKDAY(D$14,2)&gt;5)</formula>
    </cfRule>
  </conditionalFormatting>
  <conditionalFormatting sqref="E14:E16">
    <cfRule type="expression" priority="97" dxfId="3" stopIfTrue="1">
      <formula>MONTH(E$14)&lt;&gt;12</formula>
    </cfRule>
    <cfRule type="expression" priority="98" dxfId="0">
      <formula>AND(E$14&lt;&gt;"",COUNTIF(FtGilt,E$14)&gt;0)</formula>
    </cfRule>
    <cfRule type="expression" priority="99" dxfId="1">
      <formula>AND(E$14&lt;&gt;"",SUMPRODUCT(FerAktiv*(FerVon&lt;=E$14)*(FerBis&gt;=E$14))&gt;0)</formula>
    </cfRule>
    <cfRule type="expression" priority="100" dxfId="2">
      <formula>AND(E$14&lt;&gt;"",WEEKDAY(E$14,2)&gt;5)</formula>
    </cfRule>
  </conditionalFormatting>
  <conditionalFormatting sqref="F14:F16">
    <cfRule type="expression" priority="101" dxfId="3" stopIfTrue="1">
      <formula>MONTH(F$14)&lt;&gt;12</formula>
    </cfRule>
    <cfRule type="expression" priority="102" dxfId="0">
      <formula>AND(F$14&lt;&gt;"",COUNTIF(FtGilt,F$14)&gt;0)</formula>
    </cfRule>
    <cfRule type="expression" priority="103" dxfId="1">
      <formula>AND(F$14&lt;&gt;"",SUMPRODUCT(FerAktiv*(FerVon&lt;=F$14)*(FerBis&gt;=F$14))&gt;0)</formula>
    </cfRule>
    <cfRule type="expression" priority="104" dxfId="2">
      <formula>AND(F$14&lt;&gt;"",WEEKDAY(F$14,2)&gt;5)</formula>
    </cfRule>
  </conditionalFormatting>
  <conditionalFormatting sqref="G14:G16">
    <cfRule type="expression" priority="105" dxfId="3" stopIfTrue="1">
      <formula>MONTH(G$14)&lt;&gt;12</formula>
    </cfRule>
    <cfRule type="expression" priority="106" dxfId="0">
      <formula>AND(G$14&lt;&gt;"",COUNTIF(FtGilt,G$14)&gt;0)</formula>
    </cfRule>
    <cfRule type="expression" priority="107" dxfId="1">
      <formula>AND(G$14&lt;&gt;"",SUMPRODUCT(FerAktiv*(FerVon&lt;=G$14)*(FerBis&gt;=G$14))&gt;0)</formula>
    </cfRule>
    <cfRule type="expression" priority="108" dxfId="2">
      <formula>AND(G$14&lt;&gt;"",WEEKDAY(G$14,2)&gt;5)</formula>
    </cfRule>
  </conditionalFormatting>
  <conditionalFormatting sqref="H14:H16">
    <cfRule type="expression" priority="109" dxfId="3" stopIfTrue="1">
      <formula>MONTH(H$14)&lt;&gt;12</formula>
    </cfRule>
    <cfRule type="expression" priority="110" dxfId="0">
      <formula>AND(H$14&lt;&gt;"",COUNTIF(FtGilt,H$14)&gt;0)</formula>
    </cfRule>
    <cfRule type="expression" priority="111" dxfId="1">
      <formula>AND(H$14&lt;&gt;"",SUMPRODUCT(FerAktiv*(FerVon&lt;=H$14)*(FerBis&gt;=H$14))&gt;0)</formula>
    </cfRule>
    <cfRule type="expression" priority="112" dxfId="2">
      <formula>AND(H$14&lt;&gt;"",WEEKDAY(H$14,2)&gt;5)</formula>
    </cfRule>
  </conditionalFormatting>
  <conditionalFormatting sqref="B17:B19">
    <cfRule type="expression" priority="113" dxfId="3" stopIfTrue="1">
      <formula>MONTH(B$17)&lt;&gt;12</formula>
    </cfRule>
    <cfRule type="expression" priority="114" dxfId="0">
      <formula>AND(B$17&lt;&gt;"",COUNTIF(FtGilt,B$17)&gt;0)</formula>
    </cfRule>
    <cfRule type="expression" priority="115" dxfId="1">
      <formula>AND(B$17&lt;&gt;"",SUMPRODUCT(FerAktiv*(FerVon&lt;=B$17)*(FerBis&gt;=B$17))&gt;0)</formula>
    </cfRule>
    <cfRule type="expression" priority="116" dxfId="2">
      <formula>AND(B$17&lt;&gt;"",WEEKDAY(B$17,2)&gt;5)</formula>
    </cfRule>
  </conditionalFormatting>
  <conditionalFormatting sqref="C17:C19">
    <cfRule type="expression" priority="117" dxfId="3" stopIfTrue="1">
      <formula>MONTH(C$17)&lt;&gt;12</formula>
    </cfRule>
    <cfRule type="expression" priority="118" dxfId="0">
      <formula>AND(C$17&lt;&gt;"",COUNTIF(FtGilt,C$17)&gt;0)</formula>
    </cfRule>
    <cfRule type="expression" priority="119" dxfId="1">
      <formula>AND(C$17&lt;&gt;"",SUMPRODUCT(FerAktiv*(FerVon&lt;=C$17)*(FerBis&gt;=C$17))&gt;0)</formula>
    </cfRule>
    <cfRule type="expression" priority="120" dxfId="2">
      <formula>AND(C$17&lt;&gt;"",WEEKDAY(C$17,2)&gt;5)</formula>
    </cfRule>
  </conditionalFormatting>
  <conditionalFormatting sqref="D17:D19">
    <cfRule type="expression" priority="121" dxfId="3" stopIfTrue="1">
      <formula>MONTH(D$17)&lt;&gt;12</formula>
    </cfRule>
    <cfRule type="expression" priority="122" dxfId="0">
      <formula>AND(D$17&lt;&gt;"",COUNTIF(FtGilt,D$17)&gt;0)</formula>
    </cfRule>
    <cfRule type="expression" priority="123" dxfId="1">
      <formula>AND(D$17&lt;&gt;"",SUMPRODUCT(FerAktiv*(FerVon&lt;=D$17)*(FerBis&gt;=D$17))&gt;0)</formula>
    </cfRule>
    <cfRule type="expression" priority="124" dxfId="2">
      <formula>AND(D$17&lt;&gt;"",WEEKDAY(D$17,2)&gt;5)</formula>
    </cfRule>
  </conditionalFormatting>
  <conditionalFormatting sqref="E17:E19">
    <cfRule type="expression" priority="125" dxfId="3" stopIfTrue="1">
      <formula>MONTH(E$17)&lt;&gt;12</formula>
    </cfRule>
    <cfRule type="expression" priority="126" dxfId="0">
      <formula>AND(E$17&lt;&gt;"",COUNTIF(FtGilt,E$17)&gt;0)</formula>
    </cfRule>
    <cfRule type="expression" priority="127" dxfId="1">
      <formula>AND(E$17&lt;&gt;"",SUMPRODUCT(FerAktiv*(FerVon&lt;=E$17)*(FerBis&gt;=E$17))&gt;0)</formula>
    </cfRule>
    <cfRule type="expression" priority="128" dxfId="2">
      <formula>AND(E$17&lt;&gt;"",WEEKDAY(E$17,2)&gt;5)</formula>
    </cfRule>
  </conditionalFormatting>
  <conditionalFormatting sqref="F17:F19">
    <cfRule type="expression" priority="129" dxfId="3" stopIfTrue="1">
      <formula>MONTH(F$17)&lt;&gt;12</formula>
    </cfRule>
    <cfRule type="expression" priority="130" dxfId="0">
      <formula>AND(F$17&lt;&gt;"",COUNTIF(FtGilt,F$17)&gt;0)</formula>
    </cfRule>
    <cfRule type="expression" priority="131" dxfId="1">
      <formula>AND(F$17&lt;&gt;"",SUMPRODUCT(FerAktiv*(FerVon&lt;=F$17)*(FerBis&gt;=F$17))&gt;0)</formula>
    </cfRule>
    <cfRule type="expression" priority="132" dxfId="2">
      <formula>AND(F$17&lt;&gt;"",WEEKDAY(F$17,2)&gt;5)</formula>
    </cfRule>
  </conditionalFormatting>
  <conditionalFormatting sqref="G17:G19">
    <cfRule type="expression" priority="133" dxfId="3" stopIfTrue="1">
      <formula>MONTH(G$17)&lt;&gt;12</formula>
    </cfRule>
    <cfRule type="expression" priority="134" dxfId="0">
      <formula>AND(G$17&lt;&gt;"",COUNTIF(FtGilt,G$17)&gt;0)</formula>
    </cfRule>
    <cfRule type="expression" priority="135" dxfId="1">
      <formula>AND(G$17&lt;&gt;"",SUMPRODUCT(FerAktiv*(FerVon&lt;=G$17)*(FerBis&gt;=G$17))&gt;0)</formula>
    </cfRule>
    <cfRule type="expression" priority="136" dxfId="2">
      <formula>AND(G$17&lt;&gt;"",WEEKDAY(G$17,2)&gt;5)</formula>
    </cfRule>
  </conditionalFormatting>
  <conditionalFormatting sqref="H17:H19">
    <cfRule type="expression" priority="137" dxfId="3" stopIfTrue="1">
      <formula>MONTH(H$17)&lt;&gt;12</formula>
    </cfRule>
    <cfRule type="expression" priority="138" dxfId="0">
      <formula>AND(H$17&lt;&gt;"",COUNTIF(FtGilt,H$17)&gt;0)</formula>
    </cfRule>
    <cfRule type="expression" priority="139" dxfId="1">
      <formula>AND(H$17&lt;&gt;"",SUMPRODUCT(FerAktiv*(FerVon&lt;=H$17)*(FerBis&gt;=H$17))&gt;0)</formula>
    </cfRule>
    <cfRule type="expression" priority="140" dxfId="2">
      <formula>AND(H$17&lt;&gt;"",WEEKDAY(H$17,2)&gt;5)</formula>
    </cfRule>
  </conditionalFormatting>
  <conditionalFormatting sqref="B20:B22">
    <cfRule type="expression" priority="141" dxfId="3" stopIfTrue="1">
      <formula>MONTH(B$20)&lt;&gt;12</formula>
    </cfRule>
    <cfRule type="expression" priority="142" dxfId="0">
      <formula>AND(B$20&lt;&gt;"",COUNTIF(FtGilt,B$20)&gt;0)</formula>
    </cfRule>
    <cfRule type="expression" priority="143" dxfId="1">
      <formula>AND(B$20&lt;&gt;"",SUMPRODUCT(FerAktiv*(FerVon&lt;=B$20)*(FerBis&gt;=B$20))&gt;0)</formula>
    </cfRule>
    <cfRule type="expression" priority="144" dxfId="2">
      <formula>AND(B$20&lt;&gt;"",WEEKDAY(B$20,2)&gt;5)</formula>
    </cfRule>
  </conditionalFormatting>
  <conditionalFormatting sqref="C20:C22">
    <cfRule type="expression" priority="145" dxfId="3" stopIfTrue="1">
      <formula>MONTH(C$20)&lt;&gt;12</formula>
    </cfRule>
    <cfRule type="expression" priority="146" dxfId="0">
      <formula>AND(C$20&lt;&gt;"",COUNTIF(FtGilt,C$20)&gt;0)</formula>
    </cfRule>
    <cfRule type="expression" priority="147" dxfId="1">
      <formula>AND(C$20&lt;&gt;"",SUMPRODUCT(FerAktiv*(FerVon&lt;=C$20)*(FerBis&gt;=C$20))&gt;0)</formula>
    </cfRule>
    <cfRule type="expression" priority="148" dxfId="2">
      <formula>AND(C$20&lt;&gt;"",WEEKDAY(C$20,2)&gt;5)</formula>
    </cfRule>
  </conditionalFormatting>
  <conditionalFormatting sqref="D20:D22">
    <cfRule type="expression" priority="149" dxfId="3" stopIfTrue="1">
      <formula>MONTH(D$20)&lt;&gt;12</formula>
    </cfRule>
    <cfRule type="expression" priority="150" dxfId="0">
      <formula>AND(D$20&lt;&gt;"",COUNTIF(FtGilt,D$20)&gt;0)</formula>
    </cfRule>
    <cfRule type="expression" priority="151" dxfId="1">
      <formula>AND(D$20&lt;&gt;"",SUMPRODUCT(FerAktiv*(FerVon&lt;=D$20)*(FerBis&gt;=D$20))&gt;0)</formula>
    </cfRule>
    <cfRule type="expression" priority="152" dxfId="2">
      <formula>AND(D$20&lt;&gt;"",WEEKDAY(D$20,2)&gt;5)</formula>
    </cfRule>
  </conditionalFormatting>
  <conditionalFormatting sqref="E20:E22">
    <cfRule type="expression" priority="153" dxfId="3" stopIfTrue="1">
      <formula>MONTH(E$20)&lt;&gt;12</formula>
    </cfRule>
    <cfRule type="expression" priority="154" dxfId="0">
      <formula>AND(E$20&lt;&gt;"",COUNTIF(FtGilt,E$20)&gt;0)</formula>
    </cfRule>
    <cfRule type="expression" priority="155" dxfId="1">
      <formula>AND(E$20&lt;&gt;"",SUMPRODUCT(FerAktiv*(FerVon&lt;=E$20)*(FerBis&gt;=E$20))&gt;0)</formula>
    </cfRule>
    <cfRule type="expression" priority="156" dxfId="2">
      <formula>AND(E$20&lt;&gt;"",WEEKDAY(E$20,2)&gt;5)</formula>
    </cfRule>
  </conditionalFormatting>
  <conditionalFormatting sqref="F20:F22">
    <cfRule type="expression" priority="157" dxfId="3" stopIfTrue="1">
      <formula>MONTH(F$20)&lt;&gt;12</formula>
    </cfRule>
    <cfRule type="expression" priority="158" dxfId="0">
      <formula>AND(F$20&lt;&gt;"",COUNTIF(FtGilt,F$20)&gt;0)</formula>
    </cfRule>
    <cfRule type="expression" priority="159" dxfId="1">
      <formula>AND(F$20&lt;&gt;"",SUMPRODUCT(FerAktiv*(FerVon&lt;=F$20)*(FerBis&gt;=F$20))&gt;0)</formula>
    </cfRule>
    <cfRule type="expression" priority="160" dxfId="2">
      <formula>AND(F$20&lt;&gt;"",WEEKDAY(F$20,2)&gt;5)</formula>
    </cfRule>
  </conditionalFormatting>
  <conditionalFormatting sqref="G20:G22">
    <cfRule type="expression" priority="161" dxfId="3" stopIfTrue="1">
      <formula>MONTH(G$20)&lt;&gt;12</formula>
    </cfRule>
    <cfRule type="expression" priority="162" dxfId="0">
      <formula>AND(G$20&lt;&gt;"",COUNTIF(FtGilt,G$20)&gt;0)</formula>
    </cfRule>
    <cfRule type="expression" priority="163" dxfId="1">
      <formula>AND(G$20&lt;&gt;"",SUMPRODUCT(FerAktiv*(FerVon&lt;=G$20)*(FerBis&gt;=G$20))&gt;0)</formula>
    </cfRule>
    <cfRule type="expression" priority="164" dxfId="2">
      <formula>AND(G$20&lt;&gt;"",WEEKDAY(G$20,2)&gt;5)</formula>
    </cfRule>
  </conditionalFormatting>
  <conditionalFormatting sqref="H20:H22">
    <cfRule type="expression" priority="165" dxfId="3" stopIfTrue="1">
      <formula>MONTH(H$20)&lt;&gt;12</formula>
    </cfRule>
    <cfRule type="expression" priority="166" dxfId="0">
      <formula>AND(H$20&lt;&gt;"",COUNTIF(FtGilt,H$20)&gt;0)</formula>
    </cfRule>
    <cfRule type="expression" priority="167" dxfId="1">
      <formula>AND(H$20&lt;&gt;"",SUMPRODUCT(FerAktiv*(FerVon&lt;=H$20)*(FerBis&gt;=H$20))&gt;0)</formula>
    </cfRule>
    <cfRule type="expression" priority="168" dxfId="2">
      <formula>AND(H$20&lt;&gt;"",WEEKDAY(H$20,2)&gt;5)</formula>
    </cfRule>
  </conditionalFormatting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Y2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1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12" customWidth="1" min="20" max="20"/>
    <col width="12" customWidth="1" min="24" max="24"/>
  </cols>
  <sheetData>
    <row r="1" ht="34" customHeight="1">
      <c r="A1" s="1" t="inlineStr">
        <is>
          <t>Feiertage</t>
        </is>
      </c>
    </row>
    <row r="2">
      <c r="A2" s="2" t="inlineStr">
        <is>
          <t>Werden aus dem Jahr auf „Start“ berechnet (Ostern nach Gauß). x = gesetzlicher Feiertag im Bundesland.</t>
        </is>
      </c>
    </row>
    <row r="3">
      <c r="W3" s="41" t="inlineStr">
        <is>
          <t>Ostersonntag:</t>
        </is>
      </c>
      <c r="X3" s="42">
        <f>DATE(Jahr,INT((Y11+Y14-7*Y15+114)/31),MOD(Y11+Y14-7*Y15+114,31)+1)</f>
        <v/>
      </c>
    </row>
    <row r="4">
      <c r="A4" s="43" t="inlineStr">
        <is>
          <t>Feiertag</t>
        </is>
      </c>
      <c r="B4" s="43" t="inlineStr">
        <is>
          <t>Datum</t>
        </is>
      </c>
      <c r="C4" s="43" t="inlineStr">
        <is>
          <t>Gilt</t>
        </is>
      </c>
      <c r="D4" s="43" t="inlineStr">
        <is>
          <t>BW</t>
        </is>
      </c>
      <c r="E4" s="43" t="inlineStr">
        <is>
          <t>BY</t>
        </is>
      </c>
      <c r="F4" s="43" t="inlineStr">
        <is>
          <t>BE</t>
        </is>
      </c>
      <c r="G4" s="43" t="inlineStr">
        <is>
          <t>BB</t>
        </is>
      </c>
      <c r="H4" s="43" t="inlineStr">
        <is>
          <t>HB</t>
        </is>
      </c>
      <c r="I4" s="43" t="inlineStr">
        <is>
          <t>HH</t>
        </is>
      </c>
      <c r="J4" s="43" t="inlineStr">
        <is>
          <t>HE</t>
        </is>
      </c>
      <c r="K4" s="43" t="inlineStr">
        <is>
          <t>MV</t>
        </is>
      </c>
      <c r="L4" s="43" t="inlineStr">
        <is>
          <t>NI</t>
        </is>
      </c>
      <c r="M4" s="43" t="inlineStr">
        <is>
          <t>NW</t>
        </is>
      </c>
      <c r="N4" s="43" t="inlineStr">
        <is>
          <t>RP</t>
        </is>
      </c>
      <c r="O4" s="43" t="inlineStr">
        <is>
          <t>SL</t>
        </is>
      </c>
      <c r="P4" s="43" t="inlineStr">
        <is>
          <t>SN</t>
        </is>
      </c>
      <c r="Q4" s="43" t="inlineStr">
        <is>
          <t>ST</t>
        </is>
      </c>
      <c r="R4" s="43" t="inlineStr">
        <is>
          <t>SH</t>
        </is>
      </c>
      <c r="S4" s="43" t="inlineStr">
        <is>
          <t>TH</t>
        </is>
      </c>
      <c r="T4" s="43" t="inlineStr">
        <is>
          <t>Im gewählten Land</t>
        </is>
      </c>
      <c r="X4" s="6" t="inlineStr">
        <is>
          <t>a</t>
        </is>
      </c>
      <c r="Y4" s="6">
        <f>MOD(Jahr,19)</f>
        <v/>
      </c>
    </row>
    <row r="5">
      <c r="A5" s="44" t="inlineStr">
        <is>
          <t>Neujahr</t>
        </is>
      </c>
      <c r="B5" s="45">
        <f>DATE(Jahr,1,1)</f>
        <v/>
      </c>
      <c r="C5" s="46" t="inlineStr">
        <is>
          <t>bundesweit</t>
        </is>
      </c>
      <c r="D5" s="47" t="inlineStr">
        <is>
          <t>x</t>
        </is>
      </c>
      <c r="E5" s="47" t="inlineStr">
        <is>
          <t>x</t>
        </is>
      </c>
      <c r="F5" s="47" t="inlineStr">
        <is>
          <t>x</t>
        </is>
      </c>
      <c r="G5" s="47" t="inlineStr">
        <is>
          <t>x</t>
        </is>
      </c>
      <c r="H5" s="47" t="inlineStr">
        <is>
          <t>x</t>
        </is>
      </c>
      <c r="I5" s="47" t="inlineStr">
        <is>
          <t>x</t>
        </is>
      </c>
      <c r="J5" s="47" t="inlineStr">
        <is>
          <t>x</t>
        </is>
      </c>
      <c r="K5" s="47" t="inlineStr">
        <is>
          <t>x</t>
        </is>
      </c>
      <c r="L5" s="47" t="inlineStr">
        <is>
          <t>x</t>
        </is>
      </c>
      <c r="M5" s="47" t="inlineStr">
        <is>
          <t>x</t>
        </is>
      </c>
      <c r="N5" s="47" t="inlineStr">
        <is>
          <t>x</t>
        </is>
      </c>
      <c r="O5" s="47" t="inlineStr">
        <is>
          <t>x</t>
        </is>
      </c>
      <c r="P5" s="47" t="inlineStr">
        <is>
          <t>x</t>
        </is>
      </c>
      <c r="Q5" s="47" t="inlineStr">
        <is>
          <t>x</t>
        </is>
      </c>
      <c r="R5" s="47" t="inlineStr">
        <is>
          <t>x</t>
        </is>
      </c>
      <c r="S5" s="47" t="inlineStr">
        <is>
          <t>x</t>
        </is>
      </c>
      <c r="T5" s="48">
        <f>IF(OR(C5="bundesweit",IFERROR(INDEX(D5:S5,MATCH(LandCode,$D$4:$S$4,0))="x",FALSE)),B5,"")</f>
        <v/>
      </c>
      <c r="X5" s="6" t="inlineStr">
        <is>
          <t>b</t>
        </is>
      </c>
      <c r="Y5" s="6">
        <f>INT(Jahr/100)</f>
        <v/>
      </c>
    </row>
    <row r="6">
      <c r="A6" s="44" t="inlineStr">
        <is>
          <t>Heilige Drei Könige</t>
        </is>
      </c>
      <c r="B6" s="45">
        <f>DATE(Jahr,1,6)</f>
        <v/>
      </c>
      <c r="C6" s="46" t="inlineStr">
        <is>
          <t>regional</t>
        </is>
      </c>
      <c r="D6" s="47" t="inlineStr">
        <is>
          <t>x</t>
        </is>
      </c>
      <c r="E6" s="47" t="inlineStr">
        <is>
          <t>x</t>
        </is>
      </c>
      <c r="F6" s="47" t="n"/>
      <c r="G6" s="47" t="n"/>
      <c r="H6" s="47" t="n"/>
      <c r="I6" s="47" t="n"/>
      <c r="J6" s="47" t="n"/>
      <c r="K6" s="47" t="n"/>
      <c r="L6" s="47" t="n"/>
      <c r="M6" s="47" t="n"/>
      <c r="N6" s="47" t="n"/>
      <c r="O6" s="47" t="n"/>
      <c r="P6" s="47" t="n"/>
      <c r="Q6" s="47" t="inlineStr">
        <is>
          <t>x</t>
        </is>
      </c>
      <c r="R6" s="47" t="n"/>
      <c r="S6" s="47" t="n"/>
      <c r="T6" s="48">
        <f>IF(OR(C6="bundesweit",IFERROR(INDEX(D6:S6,MATCH(LandCode,$D$4:$S$4,0))="x",FALSE)),B6,"")</f>
        <v/>
      </c>
      <c r="X6" s="6" t="inlineStr">
        <is>
          <t>c</t>
        </is>
      </c>
      <c r="Y6" s="6">
        <f>MOD(Jahr,100)</f>
        <v/>
      </c>
    </row>
    <row r="7">
      <c r="A7" s="44" t="inlineStr">
        <is>
          <t>Internationaler Frauentag</t>
        </is>
      </c>
      <c r="B7" s="45">
        <f>DATE(Jahr,3,8)</f>
        <v/>
      </c>
      <c r="C7" s="46" t="inlineStr">
        <is>
          <t>regional</t>
        </is>
      </c>
      <c r="D7" s="47" t="n"/>
      <c r="E7" s="47" t="n"/>
      <c r="F7" s="47" t="inlineStr">
        <is>
          <t>x</t>
        </is>
      </c>
      <c r="G7" s="47" t="n"/>
      <c r="H7" s="47" t="n"/>
      <c r="I7" s="47" t="n"/>
      <c r="J7" s="47" t="n"/>
      <c r="K7" s="47" t="inlineStr">
        <is>
          <t>x</t>
        </is>
      </c>
      <c r="L7" s="47" t="n"/>
      <c r="M7" s="47" t="n"/>
      <c r="N7" s="47" t="n"/>
      <c r="O7" s="47" t="n"/>
      <c r="P7" s="47" t="n"/>
      <c r="Q7" s="47" t="n"/>
      <c r="R7" s="47" t="n"/>
      <c r="S7" s="47" t="n"/>
      <c r="T7" s="48">
        <f>IF(OR(C7="bundesweit",IFERROR(INDEX(D7:S7,MATCH(LandCode,$D$4:$S$4,0))="x",FALSE)),B7,"")</f>
        <v/>
      </c>
      <c r="X7" s="6" t="inlineStr">
        <is>
          <t>d</t>
        </is>
      </c>
      <c r="Y7" s="6">
        <f>INT(Y5/4)</f>
        <v/>
      </c>
    </row>
    <row r="8">
      <c r="A8" s="44" t="inlineStr">
        <is>
          <t>Karfreitag</t>
        </is>
      </c>
      <c r="B8" s="45">
        <f>Ostern-2</f>
        <v/>
      </c>
      <c r="C8" s="46" t="inlineStr">
        <is>
          <t>bundesweit</t>
        </is>
      </c>
      <c r="D8" s="47" t="inlineStr">
        <is>
          <t>x</t>
        </is>
      </c>
      <c r="E8" s="47" t="inlineStr">
        <is>
          <t>x</t>
        </is>
      </c>
      <c r="F8" s="47" t="inlineStr">
        <is>
          <t>x</t>
        </is>
      </c>
      <c r="G8" s="47" t="inlineStr">
        <is>
          <t>x</t>
        </is>
      </c>
      <c r="H8" s="47" t="inlineStr">
        <is>
          <t>x</t>
        </is>
      </c>
      <c r="I8" s="47" t="inlineStr">
        <is>
          <t>x</t>
        </is>
      </c>
      <c r="J8" s="47" t="inlineStr">
        <is>
          <t>x</t>
        </is>
      </c>
      <c r="K8" s="47" t="inlineStr">
        <is>
          <t>x</t>
        </is>
      </c>
      <c r="L8" s="47" t="inlineStr">
        <is>
          <t>x</t>
        </is>
      </c>
      <c r="M8" s="47" t="inlineStr">
        <is>
          <t>x</t>
        </is>
      </c>
      <c r="N8" s="47" t="inlineStr">
        <is>
          <t>x</t>
        </is>
      </c>
      <c r="O8" s="47" t="inlineStr">
        <is>
          <t>x</t>
        </is>
      </c>
      <c r="P8" s="47" t="inlineStr">
        <is>
          <t>x</t>
        </is>
      </c>
      <c r="Q8" s="47" t="inlineStr">
        <is>
          <t>x</t>
        </is>
      </c>
      <c r="R8" s="47" t="inlineStr">
        <is>
          <t>x</t>
        </is>
      </c>
      <c r="S8" s="47" t="inlineStr">
        <is>
          <t>x</t>
        </is>
      </c>
      <c r="T8" s="48">
        <f>IF(OR(C8="bundesweit",IFERROR(INDEX(D8:S8,MATCH(LandCode,$D$4:$S$4,0))="x",FALSE)),B8,"")</f>
        <v/>
      </c>
      <c r="X8" s="6" t="inlineStr">
        <is>
          <t>e</t>
        </is>
      </c>
      <c r="Y8" s="6">
        <f>MOD(Y5,4)</f>
        <v/>
      </c>
    </row>
    <row r="9">
      <c r="A9" s="44" t="inlineStr">
        <is>
          <t>Ostersonntag</t>
        </is>
      </c>
      <c r="B9" s="45">
        <f>Ostern</f>
        <v/>
      </c>
      <c r="C9" s="46" t="inlineStr">
        <is>
          <t>regional</t>
        </is>
      </c>
      <c r="D9" s="47" t="n"/>
      <c r="E9" s="47" t="n"/>
      <c r="F9" s="47" t="n"/>
      <c r="G9" s="47" t="inlineStr">
        <is>
          <t>x</t>
        </is>
      </c>
      <c r="H9" s="47" t="n"/>
      <c r="I9" s="47" t="n"/>
      <c r="J9" s="47" t="n"/>
      <c r="K9" s="47" t="n"/>
      <c r="L9" s="47" t="n"/>
      <c r="M9" s="47" t="n"/>
      <c r="N9" s="47" t="n"/>
      <c r="O9" s="47" t="n"/>
      <c r="P9" s="47" t="n"/>
      <c r="Q9" s="47" t="n"/>
      <c r="R9" s="47" t="n"/>
      <c r="S9" s="47" t="n"/>
      <c r="T9" s="48">
        <f>IF(OR(C9="bundesweit",IFERROR(INDEX(D9:S9,MATCH(LandCode,$D$4:$S$4,0))="x",FALSE)),B9,"")</f>
        <v/>
      </c>
      <c r="X9" s="6" t="inlineStr">
        <is>
          <t>f</t>
        </is>
      </c>
      <c r="Y9" s="6">
        <f>INT((Y5+8)/25)</f>
        <v/>
      </c>
    </row>
    <row r="10">
      <c r="A10" s="44" t="inlineStr">
        <is>
          <t>Ostermontag</t>
        </is>
      </c>
      <c r="B10" s="45">
        <f>Ostern+1</f>
        <v/>
      </c>
      <c r="C10" s="46" t="inlineStr">
        <is>
          <t>bundesweit</t>
        </is>
      </c>
      <c r="D10" s="47" t="inlineStr">
        <is>
          <t>x</t>
        </is>
      </c>
      <c r="E10" s="47" t="inlineStr">
        <is>
          <t>x</t>
        </is>
      </c>
      <c r="F10" s="47" t="inlineStr">
        <is>
          <t>x</t>
        </is>
      </c>
      <c r="G10" s="47" t="inlineStr">
        <is>
          <t>x</t>
        </is>
      </c>
      <c r="H10" s="47" t="inlineStr">
        <is>
          <t>x</t>
        </is>
      </c>
      <c r="I10" s="47" t="inlineStr">
        <is>
          <t>x</t>
        </is>
      </c>
      <c r="J10" s="47" t="inlineStr">
        <is>
          <t>x</t>
        </is>
      </c>
      <c r="K10" s="47" t="inlineStr">
        <is>
          <t>x</t>
        </is>
      </c>
      <c r="L10" s="47" t="inlineStr">
        <is>
          <t>x</t>
        </is>
      </c>
      <c r="M10" s="47" t="inlineStr">
        <is>
          <t>x</t>
        </is>
      </c>
      <c r="N10" s="47" t="inlineStr">
        <is>
          <t>x</t>
        </is>
      </c>
      <c r="O10" s="47" t="inlineStr">
        <is>
          <t>x</t>
        </is>
      </c>
      <c r="P10" s="47" t="inlineStr">
        <is>
          <t>x</t>
        </is>
      </c>
      <c r="Q10" s="47" t="inlineStr">
        <is>
          <t>x</t>
        </is>
      </c>
      <c r="R10" s="47" t="inlineStr">
        <is>
          <t>x</t>
        </is>
      </c>
      <c r="S10" s="47" t="inlineStr">
        <is>
          <t>x</t>
        </is>
      </c>
      <c r="T10" s="48">
        <f>IF(OR(C10="bundesweit",IFERROR(INDEX(D10:S10,MATCH(LandCode,$D$4:$S$4,0))="x",FALSE)),B10,"")</f>
        <v/>
      </c>
      <c r="X10" s="6" t="inlineStr">
        <is>
          <t>g</t>
        </is>
      </c>
      <c r="Y10" s="6">
        <f>INT((Y5-Y9+1)/3)</f>
        <v/>
      </c>
    </row>
    <row r="11">
      <c r="A11" s="44" t="inlineStr">
        <is>
          <t>Tag der Arbeit</t>
        </is>
      </c>
      <c r="B11" s="45">
        <f>DATE(Jahr,5,1)</f>
        <v/>
      </c>
      <c r="C11" s="46" t="inlineStr">
        <is>
          <t>bundesweit</t>
        </is>
      </c>
      <c r="D11" s="47" t="inlineStr">
        <is>
          <t>x</t>
        </is>
      </c>
      <c r="E11" s="47" t="inlineStr">
        <is>
          <t>x</t>
        </is>
      </c>
      <c r="F11" s="47" t="inlineStr">
        <is>
          <t>x</t>
        </is>
      </c>
      <c r="G11" s="47" t="inlineStr">
        <is>
          <t>x</t>
        </is>
      </c>
      <c r="H11" s="47" t="inlineStr">
        <is>
          <t>x</t>
        </is>
      </c>
      <c r="I11" s="47" t="inlineStr">
        <is>
          <t>x</t>
        </is>
      </c>
      <c r="J11" s="47" t="inlineStr">
        <is>
          <t>x</t>
        </is>
      </c>
      <c r="K11" s="47" t="inlineStr">
        <is>
          <t>x</t>
        </is>
      </c>
      <c r="L11" s="47" t="inlineStr">
        <is>
          <t>x</t>
        </is>
      </c>
      <c r="M11" s="47" t="inlineStr">
        <is>
          <t>x</t>
        </is>
      </c>
      <c r="N11" s="47" t="inlineStr">
        <is>
          <t>x</t>
        </is>
      </c>
      <c r="O11" s="47" t="inlineStr">
        <is>
          <t>x</t>
        </is>
      </c>
      <c r="P11" s="47" t="inlineStr">
        <is>
          <t>x</t>
        </is>
      </c>
      <c r="Q11" s="47" t="inlineStr">
        <is>
          <t>x</t>
        </is>
      </c>
      <c r="R11" s="47" t="inlineStr">
        <is>
          <t>x</t>
        </is>
      </c>
      <c r="S11" s="47" t="inlineStr">
        <is>
          <t>x</t>
        </is>
      </c>
      <c r="T11" s="48">
        <f>IF(OR(C11="bundesweit",IFERROR(INDEX(D11:S11,MATCH(LandCode,$D$4:$S$4,0))="x",FALSE)),B11,"")</f>
        <v/>
      </c>
      <c r="X11" s="6" t="inlineStr">
        <is>
          <t>h</t>
        </is>
      </c>
      <c r="Y11" s="6">
        <f>MOD(19*Y4+Y5-Y7-Y10+15,30)</f>
        <v/>
      </c>
    </row>
    <row r="12">
      <c r="A12" s="44" t="inlineStr">
        <is>
          <t>Christi Himmelfahrt</t>
        </is>
      </c>
      <c r="B12" s="45">
        <f>Ostern+39</f>
        <v/>
      </c>
      <c r="C12" s="46" t="inlineStr">
        <is>
          <t>bundesweit</t>
        </is>
      </c>
      <c r="D12" s="47" t="inlineStr">
        <is>
          <t>x</t>
        </is>
      </c>
      <c r="E12" s="47" t="inlineStr">
        <is>
          <t>x</t>
        </is>
      </c>
      <c r="F12" s="47" t="inlineStr">
        <is>
          <t>x</t>
        </is>
      </c>
      <c r="G12" s="47" t="inlineStr">
        <is>
          <t>x</t>
        </is>
      </c>
      <c r="H12" s="47" t="inlineStr">
        <is>
          <t>x</t>
        </is>
      </c>
      <c r="I12" s="47" t="inlineStr">
        <is>
          <t>x</t>
        </is>
      </c>
      <c r="J12" s="47" t="inlineStr">
        <is>
          <t>x</t>
        </is>
      </c>
      <c r="K12" s="47" t="inlineStr">
        <is>
          <t>x</t>
        </is>
      </c>
      <c r="L12" s="47" t="inlineStr">
        <is>
          <t>x</t>
        </is>
      </c>
      <c r="M12" s="47" t="inlineStr">
        <is>
          <t>x</t>
        </is>
      </c>
      <c r="N12" s="47" t="inlineStr">
        <is>
          <t>x</t>
        </is>
      </c>
      <c r="O12" s="47" t="inlineStr">
        <is>
          <t>x</t>
        </is>
      </c>
      <c r="P12" s="47" t="inlineStr">
        <is>
          <t>x</t>
        </is>
      </c>
      <c r="Q12" s="47" t="inlineStr">
        <is>
          <t>x</t>
        </is>
      </c>
      <c r="R12" s="47" t="inlineStr">
        <is>
          <t>x</t>
        </is>
      </c>
      <c r="S12" s="47" t="inlineStr">
        <is>
          <t>x</t>
        </is>
      </c>
      <c r="T12" s="48">
        <f>IF(OR(C12="bundesweit",IFERROR(INDEX(D12:S12,MATCH(LandCode,$D$4:$S$4,0))="x",FALSE)),B12,"")</f>
        <v/>
      </c>
      <c r="X12" s="6" t="inlineStr">
        <is>
          <t>i</t>
        </is>
      </c>
      <c r="Y12" s="6">
        <f>INT(Y6/4)</f>
        <v/>
      </c>
    </row>
    <row r="13">
      <c r="A13" s="44" t="inlineStr">
        <is>
          <t>Pfingstsonntag</t>
        </is>
      </c>
      <c r="B13" s="45">
        <f>Ostern+49</f>
        <v/>
      </c>
      <c r="C13" s="46" t="inlineStr">
        <is>
          <t>regional</t>
        </is>
      </c>
      <c r="D13" s="47" t="n"/>
      <c r="E13" s="47" t="n"/>
      <c r="F13" s="47" t="n"/>
      <c r="G13" s="47" t="inlineStr">
        <is>
          <t>x</t>
        </is>
      </c>
      <c r="H13" s="47" t="n"/>
      <c r="I13" s="47" t="n"/>
      <c r="J13" s="47" t="n"/>
      <c r="K13" s="47" t="n"/>
      <c r="L13" s="47" t="n"/>
      <c r="M13" s="47" t="n"/>
      <c r="N13" s="47" t="n"/>
      <c r="O13" s="47" t="n"/>
      <c r="P13" s="47" t="n"/>
      <c r="Q13" s="47" t="n"/>
      <c r="R13" s="47" t="n"/>
      <c r="S13" s="47" t="n"/>
      <c r="T13" s="48">
        <f>IF(OR(C13="bundesweit",IFERROR(INDEX(D13:S13,MATCH(LandCode,$D$4:$S$4,0))="x",FALSE)),B13,"")</f>
        <v/>
      </c>
      <c r="X13" s="6" t="inlineStr">
        <is>
          <t>k</t>
        </is>
      </c>
      <c r="Y13" s="6">
        <f>MOD(Y6,4)</f>
        <v/>
      </c>
    </row>
    <row r="14">
      <c r="A14" s="44" t="inlineStr">
        <is>
          <t>Pfingstmontag</t>
        </is>
      </c>
      <c r="B14" s="45">
        <f>Ostern+50</f>
        <v/>
      </c>
      <c r="C14" s="46" t="inlineStr">
        <is>
          <t>bundesweit</t>
        </is>
      </c>
      <c r="D14" s="47" t="inlineStr">
        <is>
          <t>x</t>
        </is>
      </c>
      <c r="E14" s="47" t="inlineStr">
        <is>
          <t>x</t>
        </is>
      </c>
      <c r="F14" s="47" t="inlineStr">
        <is>
          <t>x</t>
        </is>
      </c>
      <c r="G14" s="47" t="inlineStr">
        <is>
          <t>x</t>
        </is>
      </c>
      <c r="H14" s="47" t="inlineStr">
        <is>
          <t>x</t>
        </is>
      </c>
      <c r="I14" s="47" t="inlineStr">
        <is>
          <t>x</t>
        </is>
      </c>
      <c r="J14" s="47" t="inlineStr">
        <is>
          <t>x</t>
        </is>
      </c>
      <c r="K14" s="47" t="inlineStr">
        <is>
          <t>x</t>
        </is>
      </c>
      <c r="L14" s="47" t="inlineStr">
        <is>
          <t>x</t>
        </is>
      </c>
      <c r="M14" s="47" t="inlineStr">
        <is>
          <t>x</t>
        </is>
      </c>
      <c r="N14" s="47" t="inlineStr">
        <is>
          <t>x</t>
        </is>
      </c>
      <c r="O14" s="47" t="inlineStr">
        <is>
          <t>x</t>
        </is>
      </c>
      <c r="P14" s="47" t="inlineStr">
        <is>
          <t>x</t>
        </is>
      </c>
      <c r="Q14" s="47" t="inlineStr">
        <is>
          <t>x</t>
        </is>
      </c>
      <c r="R14" s="47" t="inlineStr">
        <is>
          <t>x</t>
        </is>
      </c>
      <c r="S14" s="47" t="inlineStr">
        <is>
          <t>x</t>
        </is>
      </c>
      <c r="T14" s="48">
        <f>IF(OR(C14="bundesweit",IFERROR(INDEX(D14:S14,MATCH(LandCode,$D$4:$S$4,0))="x",FALSE)),B14,"")</f>
        <v/>
      </c>
      <c r="X14" s="6" t="inlineStr">
        <is>
          <t>l</t>
        </is>
      </c>
      <c r="Y14" s="6">
        <f>MOD(32+2*Y8+2*Y12-Y11-Y13,7)</f>
        <v/>
      </c>
    </row>
    <row r="15">
      <c r="A15" s="44" t="inlineStr">
        <is>
          <t>Fronleichnam</t>
        </is>
      </c>
      <c r="B15" s="45">
        <f>Ostern+60</f>
        <v/>
      </c>
      <c r="C15" s="46" t="inlineStr">
        <is>
          <t>regional</t>
        </is>
      </c>
      <c r="D15" s="47" t="inlineStr">
        <is>
          <t>x</t>
        </is>
      </c>
      <c r="E15" s="47" t="inlineStr">
        <is>
          <t>x</t>
        </is>
      </c>
      <c r="F15" s="47" t="n"/>
      <c r="G15" s="47" t="n"/>
      <c r="H15" s="47" t="n"/>
      <c r="I15" s="47" t="n"/>
      <c r="J15" s="47" t="inlineStr">
        <is>
          <t>x</t>
        </is>
      </c>
      <c r="K15" s="47" t="n"/>
      <c r="L15" s="47" t="n"/>
      <c r="M15" s="47" t="inlineStr">
        <is>
          <t>x</t>
        </is>
      </c>
      <c r="N15" s="47" t="inlineStr">
        <is>
          <t>x</t>
        </is>
      </c>
      <c r="O15" s="47" t="inlineStr">
        <is>
          <t>x</t>
        </is>
      </c>
      <c r="P15" s="47" t="n"/>
      <c r="Q15" s="47" t="n"/>
      <c r="R15" s="47" t="n"/>
      <c r="S15" s="47" t="n"/>
      <c r="T15" s="48">
        <f>IF(OR(C15="bundesweit",IFERROR(INDEX(D15:S15,MATCH(LandCode,$D$4:$S$4,0))="x",FALSE)),B15,"")</f>
        <v/>
      </c>
      <c r="X15" s="6" t="inlineStr">
        <is>
          <t>m</t>
        </is>
      </c>
      <c r="Y15" s="6">
        <f>INT((Y4+11*Y11+22*Y14)/451)</f>
        <v/>
      </c>
    </row>
    <row r="16">
      <c r="A16" s="44" t="inlineStr">
        <is>
          <t>Mariä Himmelfahrt</t>
        </is>
      </c>
      <c r="B16" s="45">
        <f>DATE(Jahr,8,15)</f>
        <v/>
      </c>
      <c r="C16" s="46" t="inlineStr">
        <is>
          <t>regional</t>
        </is>
      </c>
      <c r="D16" s="47" t="n"/>
      <c r="E16" s="47" t="inlineStr">
        <is>
          <t>x</t>
        </is>
      </c>
      <c r="F16" s="47" t="n"/>
      <c r="G16" s="47" t="n"/>
      <c r="H16" s="47" t="n"/>
      <c r="I16" s="47" t="n"/>
      <c r="J16" s="47" t="n"/>
      <c r="K16" s="47" t="n"/>
      <c r="L16" s="47" t="n"/>
      <c r="M16" s="47" t="n"/>
      <c r="N16" s="47" t="n"/>
      <c r="O16" s="47" t="inlineStr">
        <is>
          <t>x</t>
        </is>
      </c>
      <c r="P16" s="47" t="n"/>
      <c r="Q16" s="47" t="n"/>
      <c r="R16" s="47" t="n"/>
      <c r="S16" s="47" t="n"/>
      <c r="T16" s="48">
        <f>IF(OR(C16="bundesweit",IFERROR(INDEX(D16:S16,MATCH(LandCode,$D$4:$S$4,0))="x",FALSE)),B16,"")</f>
        <v/>
      </c>
    </row>
    <row r="17">
      <c r="A17" s="44" t="inlineStr">
        <is>
          <t>Weltkindertag</t>
        </is>
      </c>
      <c r="B17" s="45">
        <f>DATE(Jahr,9,20)</f>
        <v/>
      </c>
      <c r="C17" s="46" t="inlineStr">
        <is>
          <t>regional</t>
        </is>
      </c>
      <c r="D17" s="47" t="n"/>
      <c r="E17" s="47" t="n"/>
      <c r="F17" s="47" t="n"/>
      <c r="G17" s="47" t="n"/>
      <c r="H17" s="47" t="n"/>
      <c r="I17" s="47" t="n"/>
      <c r="J17" s="47" t="n"/>
      <c r="K17" s="47" t="n"/>
      <c r="L17" s="47" t="n"/>
      <c r="M17" s="47" t="n"/>
      <c r="N17" s="47" t="n"/>
      <c r="O17" s="47" t="n"/>
      <c r="P17" s="47" t="n"/>
      <c r="Q17" s="47" t="n"/>
      <c r="R17" s="47" t="n"/>
      <c r="S17" s="47" t="inlineStr">
        <is>
          <t>x</t>
        </is>
      </c>
      <c r="T17" s="48">
        <f>IF(OR(C17="bundesweit",IFERROR(INDEX(D17:S17,MATCH(LandCode,$D$4:$S$4,0))="x",FALSE)),B17,"")</f>
        <v/>
      </c>
    </row>
    <row r="18">
      <c r="A18" s="44" t="inlineStr">
        <is>
          <t>Tag der Deutschen Einheit</t>
        </is>
      </c>
      <c r="B18" s="45">
        <f>DATE(Jahr,10,3)</f>
        <v/>
      </c>
      <c r="C18" s="46" t="inlineStr">
        <is>
          <t>bundesweit</t>
        </is>
      </c>
      <c r="D18" s="47" t="inlineStr">
        <is>
          <t>x</t>
        </is>
      </c>
      <c r="E18" s="47" t="inlineStr">
        <is>
          <t>x</t>
        </is>
      </c>
      <c r="F18" s="47" t="inlineStr">
        <is>
          <t>x</t>
        </is>
      </c>
      <c r="G18" s="47" t="inlineStr">
        <is>
          <t>x</t>
        </is>
      </c>
      <c r="H18" s="47" t="inlineStr">
        <is>
          <t>x</t>
        </is>
      </c>
      <c r="I18" s="47" t="inlineStr">
        <is>
          <t>x</t>
        </is>
      </c>
      <c r="J18" s="47" t="inlineStr">
        <is>
          <t>x</t>
        </is>
      </c>
      <c r="K18" s="47" t="inlineStr">
        <is>
          <t>x</t>
        </is>
      </c>
      <c r="L18" s="47" t="inlineStr">
        <is>
          <t>x</t>
        </is>
      </c>
      <c r="M18" s="47" t="inlineStr">
        <is>
          <t>x</t>
        </is>
      </c>
      <c r="N18" s="47" t="inlineStr">
        <is>
          <t>x</t>
        </is>
      </c>
      <c r="O18" s="47" t="inlineStr">
        <is>
          <t>x</t>
        </is>
      </c>
      <c r="P18" s="47" t="inlineStr">
        <is>
          <t>x</t>
        </is>
      </c>
      <c r="Q18" s="47" t="inlineStr">
        <is>
          <t>x</t>
        </is>
      </c>
      <c r="R18" s="47" t="inlineStr">
        <is>
          <t>x</t>
        </is>
      </c>
      <c r="S18" s="47" t="inlineStr">
        <is>
          <t>x</t>
        </is>
      </c>
      <c r="T18" s="48">
        <f>IF(OR(C18="bundesweit",IFERROR(INDEX(D18:S18,MATCH(LandCode,$D$4:$S$4,0))="x",FALSE)),B18,"")</f>
        <v/>
      </c>
    </row>
    <row r="19">
      <c r="A19" s="44" t="inlineStr">
        <is>
          <t>Reformationstag</t>
        </is>
      </c>
      <c r="B19" s="45">
        <f>DATE(Jahr,10,31)</f>
        <v/>
      </c>
      <c r="C19" s="46" t="inlineStr">
        <is>
          <t>regional</t>
        </is>
      </c>
      <c r="D19" s="47" t="n"/>
      <c r="E19" s="47" t="n"/>
      <c r="F19" s="47" t="n"/>
      <c r="G19" s="47" t="inlineStr">
        <is>
          <t>x</t>
        </is>
      </c>
      <c r="H19" s="47" t="inlineStr">
        <is>
          <t>x</t>
        </is>
      </c>
      <c r="I19" s="47" t="inlineStr">
        <is>
          <t>x</t>
        </is>
      </c>
      <c r="J19" s="47" t="n"/>
      <c r="K19" s="47" t="inlineStr">
        <is>
          <t>x</t>
        </is>
      </c>
      <c r="L19" s="47" t="inlineStr">
        <is>
          <t>x</t>
        </is>
      </c>
      <c r="M19" s="47" t="n"/>
      <c r="N19" s="47" t="n"/>
      <c r="O19" s="47" t="n"/>
      <c r="P19" s="47" t="inlineStr">
        <is>
          <t>x</t>
        </is>
      </c>
      <c r="Q19" s="47" t="inlineStr">
        <is>
          <t>x</t>
        </is>
      </c>
      <c r="R19" s="47" t="inlineStr">
        <is>
          <t>x</t>
        </is>
      </c>
      <c r="S19" s="47" t="inlineStr">
        <is>
          <t>x</t>
        </is>
      </c>
      <c r="T19" s="48">
        <f>IF(OR(C19="bundesweit",IFERROR(INDEX(D19:S19,MATCH(LandCode,$D$4:$S$4,0))="x",FALSE)),B19,"")</f>
        <v/>
      </c>
    </row>
    <row r="20">
      <c r="A20" s="44" t="inlineStr">
        <is>
          <t>Allerheiligen</t>
        </is>
      </c>
      <c r="B20" s="45">
        <f>DATE(Jahr,11,1)</f>
        <v/>
      </c>
      <c r="C20" s="46" t="inlineStr">
        <is>
          <t>regional</t>
        </is>
      </c>
      <c r="D20" s="47" t="inlineStr">
        <is>
          <t>x</t>
        </is>
      </c>
      <c r="E20" s="47" t="inlineStr">
        <is>
          <t>x</t>
        </is>
      </c>
      <c r="F20" s="47" t="n"/>
      <c r="G20" s="47" t="n"/>
      <c r="H20" s="47" t="n"/>
      <c r="I20" s="47" t="n"/>
      <c r="J20" s="47" t="n"/>
      <c r="K20" s="47" t="n"/>
      <c r="L20" s="47" t="n"/>
      <c r="M20" s="47" t="inlineStr">
        <is>
          <t>x</t>
        </is>
      </c>
      <c r="N20" s="47" t="inlineStr">
        <is>
          <t>x</t>
        </is>
      </c>
      <c r="O20" s="47" t="inlineStr">
        <is>
          <t>x</t>
        </is>
      </c>
      <c r="P20" s="47" t="n"/>
      <c r="Q20" s="47" t="n"/>
      <c r="R20" s="47" t="n"/>
      <c r="S20" s="47" t="n"/>
      <c r="T20" s="48">
        <f>IF(OR(C20="bundesweit",IFERROR(INDEX(D20:S20,MATCH(LandCode,$D$4:$S$4,0))="x",FALSE)),B20,"")</f>
        <v/>
      </c>
    </row>
    <row r="21">
      <c r="A21" s="44" t="inlineStr">
        <is>
          <t>Buß- und Bettag</t>
        </is>
      </c>
      <c r="B21" s="45">
        <f>DATE(Jahr,11,22)-MOD(WEEKDAY(DATE(Jahr,11,22),2)-3,7)</f>
        <v/>
      </c>
      <c r="C21" s="46" t="inlineStr">
        <is>
          <t>regional</t>
        </is>
      </c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inlineStr">
        <is>
          <t>x</t>
        </is>
      </c>
      <c r="Q21" s="47" t="n"/>
      <c r="R21" s="47" t="n"/>
      <c r="S21" s="47" t="n"/>
      <c r="T21" s="48">
        <f>IF(OR(C21="bundesweit",IFERROR(INDEX(D21:S21,MATCH(LandCode,$D$4:$S$4,0))="x",FALSE)),B21,"")</f>
        <v/>
      </c>
    </row>
    <row r="22">
      <c r="A22" s="44" t="inlineStr">
        <is>
          <t>1. Weihnachtstag</t>
        </is>
      </c>
      <c r="B22" s="45">
        <f>DATE(Jahr,12,25)</f>
        <v/>
      </c>
      <c r="C22" s="46" t="inlineStr">
        <is>
          <t>bundesweit</t>
        </is>
      </c>
      <c r="D22" s="47" t="inlineStr">
        <is>
          <t>x</t>
        </is>
      </c>
      <c r="E22" s="47" t="inlineStr">
        <is>
          <t>x</t>
        </is>
      </c>
      <c r="F22" s="47" t="inlineStr">
        <is>
          <t>x</t>
        </is>
      </c>
      <c r="G22" s="47" t="inlineStr">
        <is>
          <t>x</t>
        </is>
      </c>
      <c r="H22" s="47" t="inlineStr">
        <is>
          <t>x</t>
        </is>
      </c>
      <c r="I22" s="47" t="inlineStr">
        <is>
          <t>x</t>
        </is>
      </c>
      <c r="J22" s="47" t="inlineStr">
        <is>
          <t>x</t>
        </is>
      </c>
      <c r="K22" s="47" t="inlineStr">
        <is>
          <t>x</t>
        </is>
      </c>
      <c r="L22" s="47" t="inlineStr">
        <is>
          <t>x</t>
        </is>
      </c>
      <c r="M22" s="47" t="inlineStr">
        <is>
          <t>x</t>
        </is>
      </c>
      <c r="N22" s="47" t="inlineStr">
        <is>
          <t>x</t>
        </is>
      </c>
      <c r="O22" s="47" t="inlineStr">
        <is>
          <t>x</t>
        </is>
      </c>
      <c r="P22" s="47" t="inlineStr">
        <is>
          <t>x</t>
        </is>
      </c>
      <c r="Q22" s="47" t="inlineStr">
        <is>
          <t>x</t>
        </is>
      </c>
      <c r="R22" s="47" t="inlineStr">
        <is>
          <t>x</t>
        </is>
      </c>
      <c r="S22" s="47" t="inlineStr">
        <is>
          <t>x</t>
        </is>
      </c>
      <c r="T22" s="48">
        <f>IF(OR(C22="bundesweit",IFERROR(INDEX(D22:S22,MATCH(LandCode,$D$4:$S$4,0))="x",FALSE)),B22,"")</f>
        <v/>
      </c>
    </row>
    <row r="23">
      <c r="A23" s="44" t="inlineStr">
        <is>
          <t>2. Weihnachtstag</t>
        </is>
      </c>
      <c r="B23" s="45">
        <f>DATE(Jahr,12,26)</f>
        <v/>
      </c>
      <c r="C23" s="46" t="inlineStr">
        <is>
          <t>bundesweit</t>
        </is>
      </c>
      <c r="D23" s="47" t="inlineStr">
        <is>
          <t>x</t>
        </is>
      </c>
      <c r="E23" s="47" t="inlineStr">
        <is>
          <t>x</t>
        </is>
      </c>
      <c r="F23" s="47" t="inlineStr">
        <is>
          <t>x</t>
        </is>
      </c>
      <c r="G23" s="47" t="inlineStr">
        <is>
          <t>x</t>
        </is>
      </c>
      <c r="H23" s="47" t="inlineStr">
        <is>
          <t>x</t>
        </is>
      </c>
      <c r="I23" s="47" t="inlineStr">
        <is>
          <t>x</t>
        </is>
      </c>
      <c r="J23" s="47" t="inlineStr">
        <is>
          <t>x</t>
        </is>
      </c>
      <c r="K23" s="47" t="inlineStr">
        <is>
          <t>x</t>
        </is>
      </c>
      <c r="L23" s="47" t="inlineStr">
        <is>
          <t>x</t>
        </is>
      </c>
      <c r="M23" s="47" t="inlineStr">
        <is>
          <t>x</t>
        </is>
      </c>
      <c r="N23" s="47" t="inlineStr">
        <is>
          <t>x</t>
        </is>
      </c>
      <c r="O23" s="47" t="inlineStr">
        <is>
          <t>x</t>
        </is>
      </c>
      <c r="P23" s="47" t="inlineStr">
        <is>
          <t>x</t>
        </is>
      </c>
      <c r="Q23" s="47" t="inlineStr">
        <is>
          <t>x</t>
        </is>
      </c>
      <c r="R23" s="47" t="inlineStr">
        <is>
          <t>x</t>
        </is>
      </c>
      <c r="S23" s="47" t="inlineStr">
        <is>
          <t>x</t>
        </is>
      </c>
      <c r="T23" s="48">
        <f>IF(OR(C23="bundesweit",IFERROR(INDEX(D23:S23,MATCH(LandCode,$D$4:$S$4,0))="x",FALSE)),B23,"")</f>
        <v/>
      </c>
    </row>
    <row r="25">
      <c r="A25" s="49" t="inlineStr">
        <is>
          <t>Mariä Himmelfahrt ist in Bayern nur in Gemeinden mit überwiegend katholischer Bevölkerung frei, Fronleichnam zusätzlich in einigen Gemeinden in Sachsen und Thüringen. x-Felder kannst du anpassen.</t>
        </is>
      </c>
    </row>
  </sheetData>
  <pageMargins left="0.4" right="0.4" top="0.5" bottom="0.5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9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3" customWidth="1" min="3" max="3"/>
    <col width="12" customWidth="1" min="4" max="4"/>
    <col width="12" customWidth="1" min="5" max="5"/>
    <col width="7" customWidth="1" min="6" max="6"/>
  </cols>
  <sheetData>
    <row r="1" ht="34" customHeight="1">
      <c r="A1" s="1" t="inlineStr">
        <is>
          <t>Schulferien 2027</t>
        </is>
      </c>
    </row>
    <row r="2">
      <c r="A2" s="2" t="inlineStr">
        <is>
          <t>Erster und letzter freier Tag (inkl. Wochenenden). Stand Oktober 2026, ohne Gewähr – bitte beim Kultusministerium prüfen.</t>
        </is>
      </c>
    </row>
    <row r="4">
      <c r="A4" s="43" t="inlineStr">
        <is>
          <t>Kürzel</t>
        </is>
      </c>
      <c r="B4" s="43" t="inlineStr">
        <is>
          <t>Bundesland</t>
        </is>
      </c>
      <c r="C4" s="43" t="inlineStr">
        <is>
          <t>Ferien</t>
        </is>
      </c>
      <c r="D4" s="43" t="inlineStr">
        <is>
          <t>von</t>
        </is>
      </c>
      <c r="E4" s="43" t="inlineStr">
        <is>
          <t>bis</t>
        </is>
      </c>
      <c r="F4" s="43" t="inlineStr">
        <is>
          <t>aktiv</t>
        </is>
      </c>
    </row>
    <row r="5">
      <c r="A5" s="46" t="inlineStr">
        <is>
          <t>BW</t>
        </is>
      </c>
      <c r="B5" s="50" t="inlineStr">
        <is>
          <t>Baden-Württemberg</t>
        </is>
      </c>
      <c r="C5" s="50" t="inlineStr">
        <is>
          <t>Ostern</t>
        </is>
      </c>
      <c r="D5" s="51" t="n">
        <v>46471</v>
      </c>
      <c r="E5" s="51" t="n">
        <v>46481</v>
      </c>
      <c r="F5" s="52">
        <f>IF(AND(A5=LandCode,Jahr=2027),1,0)</f>
        <v/>
      </c>
    </row>
    <row r="6">
      <c r="A6" s="46" t="inlineStr">
        <is>
          <t>BW</t>
        </is>
      </c>
      <c r="B6" s="50" t="inlineStr">
        <is>
          <t>Baden-Württemberg</t>
        </is>
      </c>
      <c r="C6" s="50" t="inlineStr">
        <is>
          <t>Pfingsten</t>
        </is>
      </c>
      <c r="D6" s="51" t="n">
        <v>46523</v>
      </c>
      <c r="E6" s="51" t="n">
        <v>46537</v>
      </c>
      <c r="F6" s="52">
        <f>IF(AND(A6=LandCode,Jahr=2027),1,0)</f>
        <v/>
      </c>
    </row>
    <row r="7">
      <c r="A7" s="46" t="inlineStr">
        <is>
          <t>BW</t>
        </is>
      </c>
      <c r="B7" s="50" t="inlineStr">
        <is>
          <t>Baden-Württemberg</t>
        </is>
      </c>
      <c r="C7" s="50" t="inlineStr">
        <is>
          <t>Sommer</t>
        </is>
      </c>
      <c r="D7" s="51" t="n">
        <v>46597</v>
      </c>
      <c r="E7" s="51" t="n">
        <v>46642</v>
      </c>
      <c r="F7" s="52">
        <f>IF(AND(A7=LandCode,Jahr=2027),1,0)</f>
        <v/>
      </c>
    </row>
    <row r="8">
      <c r="A8" s="46" t="inlineStr">
        <is>
          <t>BW</t>
        </is>
      </c>
      <c r="B8" s="50" t="inlineStr">
        <is>
          <t>Baden-Württemberg</t>
        </is>
      </c>
      <c r="C8" s="50" t="inlineStr">
        <is>
          <t>Herbst</t>
        </is>
      </c>
      <c r="D8" s="51" t="n">
        <v>46691</v>
      </c>
      <c r="E8" s="51" t="n">
        <v>46698</v>
      </c>
      <c r="F8" s="52">
        <f>IF(AND(A8=LandCode,Jahr=2027),1,0)</f>
        <v/>
      </c>
    </row>
    <row r="9">
      <c r="A9" s="46" t="inlineStr">
        <is>
          <t>BW</t>
        </is>
      </c>
      <c r="B9" s="50" t="inlineStr">
        <is>
          <t>Baden-Württemberg</t>
        </is>
      </c>
      <c r="C9" s="50" t="inlineStr">
        <is>
          <t>Weihnachten</t>
        </is>
      </c>
      <c r="D9" s="51" t="n">
        <v>46744</v>
      </c>
      <c r="E9" s="51" t="n">
        <v>46761</v>
      </c>
      <c r="F9" s="52">
        <f>IF(AND(A9=LandCode,Jahr=2027),1,0)</f>
        <v/>
      </c>
    </row>
    <row r="10">
      <c r="A10" s="46" t="inlineStr">
        <is>
          <t>BY</t>
        </is>
      </c>
      <c r="B10" s="50" t="inlineStr">
        <is>
          <t>Bayern</t>
        </is>
      </c>
      <c r="C10" s="50" t="inlineStr">
        <is>
          <t>Winter</t>
        </is>
      </c>
      <c r="D10" s="51" t="n">
        <v>46425</v>
      </c>
      <c r="E10" s="51" t="n">
        <v>46432</v>
      </c>
      <c r="F10" s="52">
        <f>IF(AND(A10=LandCode,Jahr=2027),1,0)</f>
        <v/>
      </c>
    </row>
    <row r="11">
      <c r="A11" s="46" t="inlineStr">
        <is>
          <t>BY</t>
        </is>
      </c>
      <c r="B11" s="50" t="inlineStr">
        <is>
          <t>Bayern</t>
        </is>
      </c>
      <c r="C11" s="50" t="inlineStr">
        <is>
          <t>Ostern</t>
        </is>
      </c>
      <c r="D11" s="51" t="n">
        <v>46467</v>
      </c>
      <c r="E11" s="51" t="n">
        <v>46481</v>
      </c>
      <c r="F11" s="52">
        <f>IF(AND(A11=LandCode,Jahr=2027),1,0)</f>
        <v/>
      </c>
    </row>
    <row r="12">
      <c r="A12" s="46" t="inlineStr">
        <is>
          <t>BY</t>
        </is>
      </c>
      <c r="B12" s="50" t="inlineStr">
        <is>
          <t>Bayern</t>
        </is>
      </c>
      <c r="C12" s="50" t="inlineStr">
        <is>
          <t>Pfingsten</t>
        </is>
      </c>
      <c r="D12" s="51" t="n">
        <v>46523</v>
      </c>
      <c r="E12" s="51" t="n">
        <v>46537</v>
      </c>
      <c r="F12" s="52">
        <f>IF(AND(A12=LandCode,Jahr=2027),1,0)</f>
        <v/>
      </c>
    </row>
    <row r="13">
      <c r="A13" s="46" t="inlineStr">
        <is>
          <t>BY</t>
        </is>
      </c>
      <c r="B13" s="50" t="inlineStr">
        <is>
          <t>Bayern</t>
        </is>
      </c>
      <c r="C13" s="50" t="inlineStr">
        <is>
          <t>Sommer</t>
        </is>
      </c>
      <c r="D13" s="51" t="n">
        <v>46600</v>
      </c>
      <c r="E13" s="51" t="n">
        <v>46643</v>
      </c>
      <c r="F13" s="52">
        <f>IF(AND(A13=LandCode,Jahr=2027),1,0)</f>
        <v/>
      </c>
    </row>
    <row r="14">
      <c r="A14" s="46" t="inlineStr">
        <is>
          <t>BY</t>
        </is>
      </c>
      <c r="B14" s="50" t="inlineStr">
        <is>
          <t>Bayern</t>
        </is>
      </c>
      <c r="C14" s="50" t="inlineStr">
        <is>
          <t>Herbst</t>
        </is>
      </c>
      <c r="D14" s="51" t="n">
        <v>46691</v>
      </c>
      <c r="E14" s="51" t="n">
        <v>46698</v>
      </c>
      <c r="F14" s="52">
        <f>IF(AND(A14=LandCode,Jahr=2027),1,0)</f>
        <v/>
      </c>
    </row>
    <row r="15">
      <c r="A15" s="46" t="inlineStr">
        <is>
          <t>BY</t>
        </is>
      </c>
      <c r="B15" s="50" t="inlineStr">
        <is>
          <t>Bayern</t>
        </is>
      </c>
      <c r="C15" s="50" t="inlineStr">
        <is>
          <t>Weihnachten</t>
        </is>
      </c>
      <c r="D15" s="51" t="n">
        <v>46745</v>
      </c>
      <c r="E15" s="51" t="n">
        <v>46761</v>
      </c>
      <c r="F15" s="52">
        <f>IF(AND(A15=LandCode,Jahr=2027),1,0)</f>
        <v/>
      </c>
    </row>
    <row r="16">
      <c r="A16" s="46" t="inlineStr">
        <is>
          <t>BE</t>
        </is>
      </c>
      <c r="B16" s="50" t="inlineStr">
        <is>
          <t>Berlin</t>
        </is>
      </c>
      <c r="C16" s="50" t="inlineStr">
        <is>
          <t>Winter</t>
        </is>
      </c>
      <c r="D16" s="51" t="n">
        <v>46418</v>
      </c>
      <c r="E16" s="51" t="n">
        <v>46425</v>
      </c>
      <c r="F16" s="52">
        <f>IF(AND(A16=LandCode,Jahr=2027),1,0)</f>
        <v/>
      </c>
    </row>
    <row r="17">
      <c r="A17" s="46" t="inlineStr">
        <is>
          <t>BE</t>
        </is>
      </c>
      <c r="B17" s="50" t="inlineStr">
        <is>
          <t>Berlin</t>
        </is>
      </c>
      <c r="C17" s="50" t="inlineStr">
        <is>
          <t>Ostern</t>
        </is>
      </c>
      <c r="D17" s="51" t="n">
        <v>46467</v>
      </c>
      <c r="E17" s="51" t="n">
        <v>46481</v>
      </c>
      <c r="F17" s="52">
        <f>IF(AND(A17=LandCode,Jahr=2027),1,0)</f>
        <v/>
      </c>
    </row>
    <row r="18">
      <c r="A18" s="46" t="inlineStr">
        <is>
          <t>BE</t>
        </is>
      </c>
      <c r="B18" s="50" t="inlineStr">
        <is>
          <t>Berlin</t>
        </is>
      </c>
      <c r="C18" s="50" t="inlineStr">
        <is>
          <t>Himmelfahrt</t>
        </is>
      </c>
      <c r="D18" s="51" t="n">
        <v>46513</v>
      </c>
      <c r="E18" s="51" t="n">
        <v>46516</v>
      </c>
      <c r="F18" s="52">
        <f>IF(AND(A18=LandCode,Jahr=2027),1,0)</f>
        <v/>
      </c>
    </row>
    <row r="19">
      <c r="A19" s="46" t="inlineStr">
        <is>
          <t>BE</t>
        </is>
      </c>
      <c r="B19" s="50" t="inlineStr">
        <is>
          <t>Berlin</t>
        </is>
      </c>
      <c r="C19" s="50" t="inlineStr">
        <is>
          <t>Pfingsten</t>
        </is>
      </c>
      <c r="D19" s="51" t="n">
        <v>46523</v>
      </c>
      <c r="E19" s="51" t="n">
        <v>46526</v>
      </c>
      <c r="F19" s="52">
        <f>IF(AND(A19=LandCode,Jahr=2027),1,0)</f>
        <v/>
      </c>
    </row>
    <row r="20">
      <c r="A20" s="46" t="inlineStr">
        <is>
          <t>BE</t>
        </is>
      </c>
      <c r="B20" s="50" t="inlineStr">
        <is>
          <t>Berlin</t>
        </is>
      </c>
      <c r="C20" s="50" t="inlineStr">
        <is>
          <t>Sommer</t>
        </is>
      </c>
      <c r="D20" s="51" t="n">
        <v>46569</v>
      </c>
      <c r="E20" s="51" t="n">
        <v>46614</v>
      </c>
      <c r="F20" s="52">
        <f>IF(AND(A20=LandCode,Jahr=2027),1,0)</f>
        <v/>
      </c>
    </row>
    <row r="21">
      <c r="A21" s="46" t="inlineStr">
        <is>
          <t>BE</t>
        </is>
      </c>
      <c r="B21" s="50" t="inlineStr">
        <is>
          <t>Berlin</t>
        </is>
      </c>
      <c r="C21" s="50" t="inlineStr">
        <is>
          <t>Herbst</t>
        </is>
      </c>
      <c r="D21" s="51" t="n">
        <v>46670</v>
      </c>
      <c r="E21" s="51" t="n">
        <v>46684</v>
      </c>
      <c r="F21" s="52">
        <f>IF(AND(A21=LandCode,Jahr=2027),1,0)</f>
        <v/>
      </c>
    </row>
    <row r="22">
      <c r="A22" s="46" t="inlineStr">
        <is>
          <t>BE</t>
        </is>
      </c>
      <c r="B22" s="50" t="inlineStr">
        <is>
          <t>Berlin</t>
        </is>
      </c>
      <c r="C22" s="50" t="inlineStr">
        <is>
          <t>Weihnachten</t>
        </is>
      </c>
      <c r="D22" s="51" t="n">
        <v>46743</v>
      </c>
      <c r="E22" s="51" t="n">
        <v>46754</v>
      </c>
      <c r="F22" s="52">
        <f>IF(AND(A22=LandCode,Jahr=2027),1,0)</f>
        <v/>
      </c>
    </row>
    <row r="23">
      <c r="A23" s="46" t="inlineStr">
        <is>
          <t>BB</t>
        </is>
      </c>
      <c r="B23" s="50" t="inlineStr">
        <is>
          <t>Brandenburg</t>
        </is>
      </c>
      <c r="C23" s="50" t="inlineStr">
        <is>
          <t>Winter</t>
        </is>
      </c>
      <c r="D23" s="51" t="n">
        <v>46418</v>
      </c>
      <c r="E23" s="51" t="n">
        <v>46425</v>
      </c>
      <c r="F23" s="52">
        <f>IF(AND(A23=LandCode,Jahr=2027),1,0)</f>
        <v/>
      </c>
    </row>
    <row r="24">
      <c r="A24" s="46" t="inlineStr">
        <is>
          <t>BB</t>
        </is>
      </c>
      <c r="B24" s="50" t="inlineStr">
        <is>
          <t>Brandenburg</t>
        </is>
      </c>
      <c r="C24" s="50" t="inlineStr">
        <is>
          <t>Ostern</t>
        </is>
      </c>
      <c r="D24" s="51" t="n">
        <v>46467</v>
      </c>
      <c r="E24" s="51" t="n">
        <v>46481</v>
      </c>
      <c r="F24" s="52">
        <f>IF(AND(A24=LandCode,Jahr=2027),1,0)</f>
        <v/>
      </c>
    </row>
    <row r="25">
      <c r="A25" s="46" t="inlineStr">
        <is>
          <t>BB</t>
        </is>
      </c>
      <c r="B25" s="50" t="inlineStr">
        <is>
          <t>Brandenburg</t>
        </is>
      </c>
      <c r="C25" s="50" t="inlineStr">
        <is>
          <t>Pfingsten</t>
        </is>
      </c>
      <c r="D25" s="51" t="n">
        <v>46523</v>
      </c>
      <c r="E25" s="51" t="n">
        <v>46525</v>
      </c>
      <c r="F25" s="52">
        <f>IF(AND(A25=LandCode,Jahr=2027),1,0)</f>
        <v/>
      </c>
    </row>
    <row r="26">
      <c r="A26" s="46" t="inlineStr">
        <is>
          <t>BB</t>
        </is>
      </c>
      <c r="B26" s="50" t="inlineStr">
        <is>
          <t>Brandenburg</t>
        </is>
      </c>
      <c r="C26" s="50" t="inlineStr">
        <is>
          <t>Sommer</t>
        </is>
      </c>
      <c r="D26" s="51" t="n">
        <v>46569</v>
      </c>
      <c r="E26" s="51" t="n">
        <v>46614</v>
      </c>
      <c r="F26" s="52">
        <f>IF(AND(A26=LandCode,Jahr=2027),1,0)</f>
        <v/>
      </c>
    </row>
    <row r="27">
      <c r="A27" s="46" t="inlineStr">
        <is>
          <t>BB</t>
        </is>
      </c>
      <c r="B27" s="50" t="inlineStr">
        <is>
          <t>Brandenburg</t>
        </is>
      </c>
      <c r="C27" s="50" t="inlineStr">
        <is>
          <t>Herbst</t>
        </is>
      </c>
      <c r="D27" s="51" t="n">
        <v>46670</v>
      </c>
      <c r="E27" s="51" t="n">
        <v>46684</v>
      </c>
      <c r="F27" s="52">
        <f>IF(AND(A27=LandCode,Jahr=2027),1,0)</f>
        <v/>
      </c>
    </row>
    <row r="28">
      <c r="A28" s="46" t="inlineStr">
        <is>
          <t>BB</t>
        </is>
      </c>
      <c r="B28" s="50" t="inlineStr">
        <is>
          <t>Brandenburg</t>
        </is>
      </c>
      <c r="C28" s="50" t="inlineStr">
        <is>
          <t>Weihnachten</t>
        </is>
      </c>
      <c r="D28" s="51" t="n">
        <v>46744</v>
      </c>
      <c r="E28" s="51" t="n">
        <v>46754</v>
      </c>
      <c r="F28" s="52">
        <f>IF(AND(A28=LandCode,Jahr=2027),1,0)</f>
        <v/>
      </c>
    </row>
    <row r="29">
      <c r="A29" s="46" t="inlineStr">
        <is>
          <t>HB</t>
        </is>
      </c>
      <c r="B29" s="50" t="inlineStr">
        <is>
          <t>Bremen</t>
        </is>
      </c>
      <c r="C29" s="50" t="inlineStr">
        <is>
          <t>Winter</t>
        </is>
      </c>
      <c r="D29" s="51" t="n">
        <v>46417</v>
      </c>
      <c r="E29" s="51" t="n">
        <v>46420</v>
      </c>
      <c r="F29" s="52">
        <f>IF(AND(A29=LandCode,Jahr=2027),1,0)</f>
        <v/>
      </c>
    </row>
    <row r="30">
      <c r="A30" s="46" t="inlineStr">
        <is>
          <t>HB</t>
        </is>
      </c>
      <c r="B30" s="50" t="inlineStr">
        <is>
          <t>Bremen</t>
        </is>
      </c>
      <c r="C30" s="50" t="inlineStr">
        <is>
          <t>Ostern</t>
        </is>
      </c>
      <c r="D30" s="51" t="n">
        <v>46467</v>
      </c>
      <c r="E30" s="51" t="n">
        <v>46481</v>
      </c>
      <c r="F30" s="52">
        <f>IF(AND(A30=LandCode,Jahr=2027),1,0)</f>
        <v/>
      </c>
    </row>
    <row r="31">
      <c r="A31" s="46" t="inlineStr">
        <is>
          <t>HB</t>
        </is>
      </c>
      <c r="B31" s="50" t="inlineStr">
        <is>
          <t>Bremen</t>
        </is>
      </c>
      <c r="C31" s="50" t="inlineStr">
        <is>
          <t>Pfingsten</t>
        </is>
      </c>
      <c r="D31" s="51" t="n">
        <v>46523</v>
      </c>
      <c r="E31" s="51" t="n">
        <v>46525</v>
      </c>
      <c r="F31" s="52">
        <f>IF(AND(A31=LandCode,Jahr=2027),1,0)</f>
        <v/>
      </c>
    </row>
    <row r="32">
      <c r="A32" s="46" t="inlineStr">
        <is>
          <t>HB</t>
        </is>
      </c>
      <c r="B32" s="50" t="inlineStr">
        <is>
          <t>Bremen</t>
        </is>
      </c>
      <c r="C32" s="50" t="inlineStr">
        <is>
          <t>Sommer</t>
        </is>
      </c>
      <c r="D32" s="51" t="n">
        <v>46576</v>
      </c>
      <c r="E32" s="51" t="n">
        <v>46617</v>
      </c>
      <c r="F32" s="52">
        <f>IF(AND(A32=LandCode,Jahr=2027),1,0)</f>
        <v/>
      </c>
    </row>
    <row r="33">
      <c r="A33" s="46" t="inlineStr">
        <is>
          <t>HB</t>
        </is>
      </c>
      <c r="B33" s="50" t="inlineStr">
        <is>
          <t>Bremen</t>
        </is>
      </c>
      <c r="C33" s="50" t="inlineStr">
        <is>
          <t>Herbst</t>
        </is>
      </c>
      <c r="D33" s="51" t="n">
        <v>46677</v>
      </c>
      <c r="E33" s="51" t="n">
        <v>46691</v>
      </c>
      <c r="F33" s="52">
        <f>IF(AND(A33=LandCode,Jahr=2027),1,0)</f>
        <v/>
      </c>
    </row>
    <row r="34">
      <c r="A34" s="46" t="inlineStr">
        <is>
          <t>HB</t>
        </is>
      </c>
      <c r="B34" s="50" t="inlineStr">
        <is>
          <t>Bremen</t>
        </is>
      </c>
      <c r="C34" s="50" t="inlineStr">
        <is>
          <t>Weihnachten</t>
        </is>
      </c>
      <c r="D34" s="51" t="n">
        <v>46744</v>
      </c>
      <c r="E34" s="51" t="n">
        <v>46761</v>
      </c>
      <c r="F34" s="52">
        <f>IF(AND(A34=LandCode,Jahr=2027),1,0)</f>
        <v/>
      </c>
    </row>
    <row r="35">
      <c r="A35" s="46" t="inlineStr">
        <is>
          <t>HH</t>
        </is>
      </c>
      <c r="B35" s="50" t="inlineStr">
        <is>
          <t>Hamburg</t>
        </is>
      </c>
      <c r="C35" s="50" t="inlineStr">
        <is>
          <t>Winter</t>
        </is>
      </c>
      <c r="D35" s="51" t="n">
        <v>46416</v>
      </c>
      <c r="E35" s="51" t="n">
        <v>46418</v>
      </c>
      <c r="F35" s="52">
        <f>IF(AND(A35=LandCode,Jahr=2027),1,0)</f>
        <v/>
      </c>
    </row>
    <row r="36">
      <c r="A36" s="46" t="inlineStr">
        <is>
          <t>HH</t>
        </is>
      </c>
      <c r="B36" s="50" t="inlineStr">
        <is>
          <t>Hamburg</t>
        </is>
      </c>
      <c r="C36" s="50" t="inlineStr">
        <is>
          <t>Frühjahr</t>
        </is>
      </c>
      <c r="D36" s="51" t="n">
        <v>46446</v>
      </c>
      <c r="E36" s="51" t="n">
        <v>46460</v>
      </c>
      <c r="F36" s="52">
        <f>IF(AND(A36=LandCode,Jahr=2027),1,0)</f>
        <v/>
      </c>
    </row>
    <row r="37">
      <c r="A37" s="46" t="inlineStr">
        <is>
          <t>HH</t>
        </is>
      </c>
      <c r="B37" s="50" t="inlineStr">
        <is>
          <t>Hamburg</t>
        </is>
      </c>
      <c r="C37" s="50" t="inlineStr">
        <is>
          <t>Himmelfahrt</t>
        </is>
      </c>
      <c r="D37" s="51" t="n">
        <v>46513</v>
      </c>
      <c r="E37" s="51" t="n">
        <v>46524</v>
      </c>
      <c r="F37" s="52">
        <f>IF(AND(A37=LandCode,Jahr=2027),1,0)</f>
        <v/>
      </c>
    </row>
    <row r="38">
      <c r="A38" s="46" t="inlineStr">
        <is>
          <t>HH</t>
        </is>
      </c>
      <c r="B38" s="50" t="inlineStr">
        <is>
          <t>Hamburg</t>
        </is>
      </c>
      <c r="C38" s="50" t="inlineStr">
        <is>
          <t>Sommer</t>
        </is>
      </c>
      <c r="D38" s="51" t="n">
        <v>46569</v>
      </c>
      <c r="E38" s="51" t="n">
        <v>46610</v>
      </c>
      <c r="F38" s="52">
        <f>IF(AND(A38=LandCode,Jahr=2027),1,0)</f>
        <v/>
      </c>
    </row>
    <row r="39">
      <c r="A39" s="46" t="inlineStr">
        <is>
          <t>HH</t>
        </is>
      </c>
      <c r="B39" s="50" t="inlineStr">
        <is>
          <t>Hamburg</t>
        </is>
      </c>
      <c r="C39" s="50" t="inlineStr">
        <is>
          <t>Herbst</t>
        </is>
      </c>
      <c r="D39" s="51" t="n">
        <v>46670</v>
      </c>
      <c r="E39" s="51" t="n">
        <v>46684</v>
      </c>
      <c r="F39" s="52">
        <f>IF(AND(A39=LandCode,Jahr=2027),1,0)</f>
        <v/>
      </c>
    </row>
    <row r="40">
      <c r="A40" s="46" t="inlineStr">
        <is>
          <t>HH</t>
        </is>
      </c>
      <c r="B40" s="50" t="inlineStr">
        <is>
          <t>Hamburg</t>
        </is>
      </c>
      <c r="C40" s="50" t="inlineStr">
        <is>
          <t>Weihnachten</t>
        </is>
      </c>
      <c r="D40" s="51" t="n">
        <v>46740</v>
      </c>
      <c r="E40" s="51" t="n">
        <v>46754</v>
      </c>
      <c r="F40" s="52">
        <f>IF(AND(A40=LandCode,Jahr=2027),1,0)</f>
        <v/>
      </c>
    </row>
    <row r="41">
      <c r="A41" s="46" t="inlineStr">
        <is>
          <t>HE</t>
        </is>
      </c>
      <c r="B41" s="50" t="inlineStr">
        <is>
          <t>Hessen</t>
        </is>
      </c>
      <c r="C41" s="50" t="inlineStr">
        <is>
          <t>Ostern</t>
        </is>
      </c>
      <c r="D41" s="51" t="n">
        <v>46467</v>
      </c>
      <c r="E41" s="51" t="n">
        <v>46481</v>
      </c>
      <c r="F41" s="52">
        <f>IF(AND(A41=LandCode,Jahr=2027),1,0)</f>
        <v/>
      </c>
    </row>
    <row r="42">
      <c r="A42" s="46" t="inlineStr">
        <is>
          <t>HE</t>
        </is>
      </c>
      <c r="B42" s="50" t="inlineStr">
        <is>
          <t>Hessen</t>
        </is>
      </c>
      <c r="C42" s="50" t="inlineStr">
        <is>
          <t>Sommer</t>
        </is>
      </c>
      <c r="D42" s="51" t="n">
        <v>46565</v>
      </c>
      <c r="E42" s="51" t="n">
        <v>46607</v>
      </c>
      <c r="F42" s="52">
        <f>IF(AND(A42=LandCode,Jahr=2027),1,0)</f>
        <v/>
      </c>
    </row>
    <row r="43">
      <c r="A43" s="46" t="inlineStr">
        <is>
          <t>HE</t>
        </is>
      </c>
      <c r="B43" s="50" t="inlineStr">
        <is>
          <t>Hessen</t>
        </is>
      </c>
      <c r="C43" s="50" t="inlineStr">
        <is>
          <t>Herbst</t>
        </is>
      </c>
      <c r="D43" s="51" t="n">
        <v>46663</v>
      </c>
      <c r="E43" s="51" t="n">
        <v>46677</v>
      </c>
      <c r="F43" s="52">
        <f>IF(AND(A43=LandCode,Jahr=2027),1,0)</f>
        <v/>
      </c>
    </row>
    <row r="44">
      <c r="A44" s="46" t="inlineStr">
        <is>
          <t>HE</t>
        </is>
      </c>
      <c r="B44" s="50" t="inlineStr">
        <is>
          <t>Hessen</t>
        </is>
      </c>
      <c r="C44" s="50" t="inlineStr">
        <is>
          <t>Weihnachten</t>
        </is>
      </c>
      <c r="D44" s="51" t="n">
        <v>46744</v>
      </c>
      <c r="E44" s="51" t="n">
        <v>46763</v>
      </c>
      <c r="F44" s="52">
        <f>IF(AND(A44=LandCode,Jahr=2027),1,0)</f>
        <v/>
      </c>
    </row>
    <row r="45">
      <c r="A45" s="46" t="inlineStr">
        <is>
          <t>MV</t>
        </is>
      </c>
      <c r="B45" s="50" t="inlineStr">
        <is>
          <t>Mecklenburg-Vorpommern</t>
        </is>
      </c>
      <c r="C45" s="50" t="inlineStr">
        <is>
          <t>Winter</t>
        </is>
      </c>
      <c r="D45" s="51" t="n">
        <v>46425</v>
      </c>
      <c r="E45" s="51" t="n">
        <v>46439</v>
      </c>
      <c r="F45" s="52">
        <f>IF(AND(A45=LandCode,Jahr=2027),1,0)</f>
        <v/>
      </c>
    </row>
    <row r="46">
      <c r="A46" s="46" t="inlineStr">
        <is>
          <t>MV</t>
        </is>
      </c>
      <c r="B46" s="50" t="inlineStr">
        <is>
          <t>Mecklenburg-Vorpommern</t>
        </is>
      </c>
      <c r="C46" s="50" t="inlineStr">
        <is>
          <t>Ostern</t>
        </is>
      </c>
      <c r="D46" s="51" t="n">
        <v>46467</v>
      </c>
      <c r="E46" s="51" t="n">
        <v>46477</v>
      </c>
      <c r="F46" s="52">
        <f>IF(AND(A46=LandCode,Jahr=2027),1,0)</f>
        <v/>
      </c>
    </row>
    <row r="47">
      <c r="A47" s="46" t="inlineStr">
        <is>
          <t>MV</t>
        </is>
      </c>
      <c r="B47" s="50" t="inlineStr">
        <is>
          <t>Mecklenburg-Vorpommern</t>
        </is>
      </c>
      <c r="C47" s="50" t="inlineStr">
        <is>
          <t>Pfingsten</t>
        </is>
      </c>
      <c r="D47" s="51" t="n">
        <v>46521</v>
      </c>
      <c r="E47" s="51" t="n">
        <v>46525</v>
      </c>
      <c r="F47" s="52">
        <f>IF(AND(A47=LandCode,Jahr=2027),1,0)</f>
        <v/>
      </c>
    </row>
    <row r="48">
      <c r="A48" s="46" t="inlineStr">
        <is>
          <t>MV</t>
        </is>
      </c>
      <c r="B48" s="50" t="inlineStr">
        <is>
          <t>Mecklenburg-Vorpommern</t>
        </is>
      </c>
      <c r="C48" s="50" t="inlineStr">
        <is>
          <t>Sommer</t>
        </is>
      </c>
      <c r="D48" s="51" t="n">
        <v>46572</v>
      </c>
      <c r="E48" s="51" t="n">
        <v>46614</v>
      </c>
      <c r="F48" s="52">
        <f>IF(AND(A48=LandCode,Jahr=2027),1,0)</f>
        <v/>
      </c>
    </row>
    <row r="49">
      <c r="A49" s="46" t="inlineStr">
        <is>
          <t>MV</t>
        </is>
      </c>
      <c r="B49" s="50" t="inlineStr">
        <is>
          <t>Mecklenburg-Vorpommern</t>
        </is>
      </c>
      <c r="C49" s="50" t="inlineStr">
        <is>
          <t>Herbst</t>
        </is>
      </c>
      <c r="D49" s="51" t="n">
        <v>46674</v>
      </c>
      <c r="E49" s="51" t="n">
        <v>46684</v>
      </c>
      <c r="F49" s="52">
        <f>IF(AND(A49=LandCode,Jahr=2027),1,0)</f>
        <v/>
      </c>
    </row>
    <row r="50">
      <c r="A50" s="46" t="inlineStr">
        <is>
          <t>MV</t>
        </is>
      </c>
      <c r="B50" s="50" t="inlineStr">
        <is>
          <t>Mecklenburg-Vorpommern</t>
        </is>
      </c>
      <c r="C50" s="50" t="inlineStr">
        <is>
          <t>Weihnachten</t>
        </is>
      </c>
      <c r="D50" s="51" t="n">
        <v>46744</v>
      </c>
      <c r="E50" s="51" t="n">
        <v>46756</v>
      </c>
      <c r="F50" s="52">
        <f>IF(AND(A50=LandCode,Jahr=2027),1,0)</f>
        <v/>
      </c>
    </row>
    <row r="51">
      <c r="A51" s="46" t="inlineStr">
        <is>
          <t>NI</t>
        </is>
      </c>
      <c r="B51" s="50" t="inlineStr">
        <is>
          <t>Niedersachsen</t>
        </is>
      </c>
      <c r="C51" s="50" t="inlineStr">
        <is>
          <t>Winter</t>
        </is>
      </c>
      <c r="D51" s="51" t="n">
        <v>46418</v>
      </c>
      <c r="E51" s="51" t="n">
        <v>46420</v>
      </c>
      <c r="F51" s="52">
        <f>IF(AND(A51=LandCode,Jahr=2027),1,0)</f>
        <v/>
      </c>
    </row>
    <row r="52">
      <c r="A52" s="46" t="inlineStr">
        <is>
          <t>NI</t>
        </is>
      </c>
      <c r="B52" s="50" t="inlineStr">
        <is>
          <t>Niedersachsen</t>
        </is>
      </c>
      <c r="C52" s="50" t="inlineStr">
        <is>
          <t>Ostern</t>
        </is>
      </c>
      <c r="D52" s="51" t="n">
        <v>46467</v>
      </c>
      <c r="E52" s="51" t="n">
        <v>46481</v>
      </c>
      <c r="F52" s="52">
        <f>IF(AND(A52=LandCode,Jahr=2027),1,0)</f>
        <v/>
      </c>
    </row>
    <row r="53">
      <c r="A53" s="46" t="inlineStr">
        <is>
          <t>NI</t>
        </is>
      </c>
      <c r="B53" s="50" t="inlineStr">
        <is>
          <t>Niedersachsen</t>
        </is>
      </c>
      <c r="C53" s="50" t="inlineStr">
        <is>
          <t>Himmelfahrt</t>
        </is>
      </c>
      <c r="D53" s="51" t="n">
        <v>46513</v>
      </c>
      <c r="E53" s="51" t="n">
        <v>46516</v>
      </c>
      <c r="F53" s="52">
        <f>IF(AND(A53=LandCode,Jahr=2027),1,0)</f>
        <v/>
      </c>
    </row>
    <row r="54">
      <c r="A54" s="46" t="inlineStr">
        <is>
          <t>NI</t>
        </is>
      </c>
      <c r="B54" s="50" t="inlineStr">
        <is>
          <t>Niedersachsen</t>
        </is>
      </c>
      <c r="C54" s="50" t="inlineStr">
        <is>
          <t>Pfingsten</t>
        </is>
      </c>
      <c r="D54" s="51" t="n">
        <v>46523</v>
      </c>
      <c r="E54" s="51" t="n">
        <v>46525</v>
      </c>
      <c r="F54" s="52">
        <f>IF(AND(A54=LandCode,Jahr=2027),1,0)</f>
        <v/>
      </c>
    </row>
    <row r="55">
      <c r="A55" s="46" t="inlineStr">
        <is>
          <t>NI</t>
        </is>
      </c>
      <c r="B55" s="50" t="inlineStr">
        <is>
          <t>Niedersachsen</t>
        </is>
      </c>
      <c r="C55" s="50" t="inlineStr">
        <is>
          <t>Sommer</t>
        </is>
      </c>
      <c r="D55" s="51" t="n">
        <v>46576</v>
      </c>
      <c r="E55" s="51" t="n">
        <v>46617</v>
      </c>
      <c r="F55" s="52">
        <f>IF(AND(A55=LandCode,Jahr=2027),1,0)</f>
        <v/>
      </c>
    </row>
    <row r="56">
      <c r="A56" s="46" t="inlineStr">
        <is>
          <t>NI</t>
        </is>
      </c>
      <c r="B56" s="50" t="inlineStr">
        <is>
          <t>Niedersachsen</t>
        </is>
      </c>
      <c r="C56" s="50" t="inlineStr">
        <is>
          <t>Herbst</t>
        </is>
      </c>
      <c r="D56" s="51" t="n">
        <v>46676</v>
      </c>
      <c r="E56" s="51" t="n">
        <v>46691</v>
      </c>
      <c r="F56" s="52">
        <f>IF(AND(A56=LandCode,Jahr=2027),1,0)</f>
        <v/>
      </c>
    </row>
    <row r="57">
      <c r="A57" s="46" t="inlineStr">
        <is>
          <t>NI</t>
        </is>
      </c>
      <c r="B57" s="50" t="inlineStr">
        <is>
          <t>Niedersachsen</t>
        </is>
      </c>
      <c r="C57" s="50" t="inlineStr">
        <is>
          <t>Weihnachten</t>
        </is>
      </c>
      <c r="D57" s="51" t="n">
        <v>46744</v>
      </c>
      <c r="E57" s="51" t="n">
        <v>46761</v>
      </c>
      <c r="F57" s="52">
        <f>IF(AND(A57=LandCode,Jahr=2027),1,0)</f>
        <v/>
      </c>
    </row>
    <row r="58">
      <c r="A58" s="46" t="inlineStr">
        <is>
          <t>NW</t>
        </is>
      </c>
      <c r="B58" s="50" t="inlineStr">
        <is>
          <t>Nordrhein-Westfalen</t>
        </is>
      </c>
      <c r="C58" s="50" t="inlineStr">
        <is>
          <t>Ostern</t>
        </is>
      </c>
      <c r="D58" s="51" t="n">
        <v>46467</v>
      </c>
      <c r="E58" s="51" t="n">
        <v>46481</v>
      </c>
      <c r="F58" s="52">
        <f>IF(AND(A58=LandCode,Jahr=2027),1,0)</f>
        <v/>
      </c>
    </row>
    <row r="59">
      <c r="A59" s="46" t="inlineStr">
        <is>
          <t>NW</t>
        </is>
      </c>
      <c r="B59" s="50" t="inlineStr">
        <is>
          <t>Nordrhein-Westfalen</t>
        </is>
      </c>
      <c r="C59" s="50" t="inlineStr">
        <is>
          <t>Pfingsten</t>
        </is>
      </c>
      <c r="D59" s="51" t="n">
        <v>46523</v>
      </c>
      <c r="E59" s="51" t="n">
        <v>46525</v>
      </c>
      <c r="F59" s="52">
        <f>IF(AND(A59=LandCode,Jahr=2027),1,0)</f>
        <v/>
      </c>
    </row>
    <row r="60">
      <c r="A60" s="46" t="inlineStr">
        <is>
          <t>NW</t>
        </is>
      </c>
      <c r="B60" s="50" t="inlineStr">
        <is>
          <t>Nordrhein-Westfalen</t>
        </is>
      </c>
      <c r="C60" s="50" t="inlineStr">
        <is>
          <t>Sommer</t>
        </is>
      </c>
      <c r="D60" s="51" t="n">
        <v>46586</v>
      </c>
      <c r="E60" s="51" t="n">
        <v>46630</v>
      </c>
      <c r="F60" s="52">
        <f>IF(AND(A60=LandCode,Jahr=2027),1,0)</f>
        <v/>
      </c>
    </row>
    <row r="61">
      <c r="A61" s="46" t="inlineStr">
        <is>
          <t>NW</t>
        </is>
      </c>
      <c r="B61" s="50" t="inlineStr">
        <is>
          <t>Nordrhein-Westfalen</t>
        </is>
      </c>
      <c r="C61" s="50" t="inlineStr">
        <is>
          <t>Herbst</t>
        </is>
      </c>
      <c r="D61" s="51" t="n">
        <v>46683</v>
      </c>
      <c r="E61" s="51" t="n">
        <v>46698</v>
      </c>
      <c r="F61" s="52">
        <f>IF(AND(A61=LandCode,Jahr=2027),1,0)</f>
        <v/>
      </c>
    </row>
    <row r="62">
      <c r="A62" s="46" t="inlineStr">
        <is>
          <t>NW</t>
        </is>
      </c>
      <c r="B62" s="50" t="inlineStr">
        <is>
          <t>Nordrhein-Westfalen</t>
        </is>
      </c>
      <c r="C62" s="50" t="inlineStr">
        <is>
          <t>Weihnachten</t>
        </is>
      </c>
      <c r="D62" s="51" t="n">
        <v>46745</v>
      </c>
      <c r="E62" s="51" t="n">
        <v>46761</v>
      </c>
      <c r="F62" s="52">
        <f>IF(AND(A62=LandCode,Jahr=2027),1,0)</f>
        <v/>
      </c>
    </row>
    <row r="63">
      <c r="A63" s="46" t="inlineStr">
        <is>
          <t>RP</t>
        </is>
      </c>
      <c r="B63" s="50" t="inlineStr">
        <is>
          <t>Rheinland-Pfalz</t>
        </is>
      </c>
      <c r="C63" s="50" t="inlineStr">
        <is>
          <t>Ostern</t>
        </is>
      </c>
      <c r="D63" s="51" t="n">
        <v>46467</v>
      </c>
      <c r="E63" s="51" t="n">
        <v>46481</v>
      </c>
      <c r="F63" s="52">
        <f>IF(AND(A63=LandCode,Jahr=2027),1,0)</f>
        <v/>
      </c>
    </row>
    <row r="64">
      <c r="A64" s="46" t="inlineStr">
        <is>
          <t>RP</t>
        </is>
      </c>
      <c r="B64" s="50" t="inlineStr">
        <is>
          <t>Rheinland-Pfalz</t>
        </is>
      </c>
      <c r="C64" s="50" t="inlineStr">
        <is>
          <t>Sommer</t>
        </is>
      </c>
      <c r="D64" s="51" t="n">
        <v>46565</v>
      </c>
      <c r="E64" s="51" t="n">
        <v>46607</v>
      </c>
      <c r="F64" s="52">
        <f>IF(AND(A64=LandCode,Jahr=2027),1,0)</f>
        <v/>
      </c>
    </row>
    <row r="65">
      <c r="A65" s="46" t="inlineStr">
        <is>
          <t>RP</t>
        </is>
      </c>
      <c r="B65" s="50" t="inlineStr">
        <is>
          <t>Rheinland-Pfalz</t>
        </is>
      </c>
      <c r="C65" s="50" t="inlineStr">
        <is>
          <t>Herbst</t>
        </is>
      </c>
      <c r="D65" s="51" t="n">
        <v>46663</v>
      </c>
      <c r="E65" s="51" t="n">
        <v>46677</v>
      </c>
      <c r="F65" s="52">
        <f>IF(AND(A65=LandCode,Jahr=2027),1,0)</f>
        <v/>
      </c>
    </row>
    <row r="66">
      <c r="A66" s="46" t="inlineStr">
        <is>
          <t>RP</t>
        </is>
      </c>
      <c r="B66" s="50" t="inlineStr">
        <is>
          <t>Rheinland-Pfalz</t>
        </is>
      </c>
      <c r="C66" s="50" t="inlineStr">
        <is>
          <t>Weihnachten</t>
        </is>
      </c>
      <c r="D66" s="51" t="n">
        <v>46744</v>
      </c>
      <c r="E66" s="51" t="n">
        <v>46761</v>
      </c>
      <c r="F66" s="52">
        <f>IF(AND(A66=LandCode,Jahr=2027),1,0)</f>
        <v/>
      </c>
    </row>
    <row r="67">
      <c r="A67" s="46" t="inlineStr">
        <is>
          <t>SL</t>
        </is>
      </c>
      <c r="B67" s="50" t="inlineStr">
        <is>
          <t>Saarland</t>
        </is>
      </c>
      <c r="C67" s="50" t="inlineStr">
        <is>
          <t>Winter</t>
        </is>
      </c>
      <c r="D67" s="51" t="n">
        <v>46425</v>
      </c>
      <c r="E67" s="51" t="n">
        <v>46432</v>
      </c>
      <c r="F67" s="52">
        <f>IF(AND(A67=LandCode,Jahr=2027),1,0)</f>
        <v/>
      </c>
    </row>
    <row r="68">
      <c r="A68" s="46" t="inlineStr">
        <is>
          <t>SL</t>
        </is>
      </c>
      <c r="B68" s="50" t="inlineStr">
        <is>
          <t>Saarland</t>
        </is>
      </c>
      <c r="C68" s="50" t="inlineStr">
        <is>
          <t>Ostern</t>
        </is>
      </c>
      <c r="D68" s="51" t="n">
        <v>46474</v>
      </c>
      <c r="E68" s="51" t="n">
        <v>46488</v>
      </c>
      <c r="F68" s="52">
        <f>IF(AND(A68=LandCode,Jahr=2027),1,0)</f>
        <v/>
      </c>
    </row>
    <row r="69">
      <c r="A69" s="46" t="inlineStr">
        <is>
          <t>SL</t>
        </is>
      </c>
      <c r="B69" s="50" t="inlineStr">
        <is>
          <t>Saarland</t>
        </is>
      </c>
      <c r="C69" s="50" t="inlineStr">
        <is>
          <t>Sommer</t>
        </is>
      </c>
      <c r="D69" s="51" t="n">
        <v>46565</v>
      </c>
      <c r="E69" s="51" t="n">
        <v>46607</v>
      </c>
      <c r="F69" s="52">
        <f>IF(AND(A69=LandCode,Jahr=2027),1,0)</f>
        <v/>
      </c>
    </row>
    <row r="70">
      <c r="A70" s="46" t="inlineStr">
        <is>
          <t>SL</t>
        </is>
      </c>
      <c r="B70" s="50" t="inlineStr">
        <is>
          <t>Saarland</t>
        </is>
      </c>
      <c r="C70" s="50" t="inlineStr">
        <is>
          <t>Herbst</t>
        </is>
      </c>
      <c r="D70" s="51" t="n">
        <v>46663</v>
      </c>
      <c r="E70" s="51" t="n">
        <v>46677</v>
      </c>
      <c r="F70" s="52">
        <f>IF(AND(A70=LandCode,Jahr=2027),1,0)</f>
        <v/>
      </c>
    </row>
    <row r="71">
      <c r="A71" s="46" t="inlineStr">
        <is>
          <t>SL</t>
        </is>
      </c>
      <c r="B71" s="50" t="inlineStr">
        <is>
          <t>Saarland</t>
        </is>
      </c>
      <c r="C71" s="50" t="inlineStr">
        <is>
          <t>Weihnachten</t>
        </is>
      </c>
      <c r="D71" s="51" t="n">
        <v>46740</v>
      </c>
      <c r="E71" s="51" t="n">
        <v>46754</v>
      </c>
      <c r="F71" s="52">
        <f>IF(AND(A71=LandCode,Jahr=2027),1,0)</f>
        <v/>
      </c>
    </row>
    <row r="72">
      <c r="A72" s="46" t="inlineStr">
        <is>
          <t>SN</t>
        </is>
      </c>
      <c r="B72" s="50" t="inlineStr">
        <is>
          <t>Sachsen</t>
        </is>
      </c>
      <c r="C72" s="50" t="inlineStr">
        <is>
          <t>Winter</t>
        </is>
      </c>
      <c r="D72" s="51" t="n">
        <v>46425</v>
      </c>
      <c r="E72" s="51" t="n">
        <v>46439</v>
      </c>
      <c r="F72" s="52">
        <f>IF(AND(A72=LandCode,Jahr=2027),1,0)</f>
        <v/>
      </c>
    </row>
    <row r="73">
      <c r="A73" s="46" t="inlineStr">
        <is>
          <t>SN</t>
        </is>
      </c>
      <c r="B73" s="50" t="inlineStr">
        <is>
          <t>Sachsen</t>
        </is>
      </c>
      <c r="C73" s="50" t="inlineStr">
        <is>
          <t>Ostern</t>
        </is>
      </c>
      <c r="D73" s="51" t="n">
        <v>46472</v>
      </c>
      <c r="E73" s="51" t="n">
        <v>46481</v>
      </c>
      <c r="F73" s="52">
        <f>IF(AND(A73=LandCode,Jahr=2027),1,0)</f>
        <v/>
      </c>
    </row>
    <row r="74">
      <c r="A74" s="46" t="inlineStr">
        <is>
          <t>SN</t>
        </is>
      </c>
      <c r="B74" s="50" t="inlineStr">
        <is>
          <t>Sachsen</t>
        </is>
      </c>
      <c r="C74" s="50" t="inlineStr">
        <is>
          <t>Himmelfahrt</t>
        </is>
      </c>
      <c r="D74" s="51" t="n">
        <v>46513</v>
      </c>
      <c r="E74" s="51" t="n">
        <v>46516</v>
      </c>
      <c r="F74" s="52">
        <f>IF(AND(A74=LandCode,Jahr=2027),1,0)</f>
        <v/>
      </c>
    </row>
    <row r="75">
      <c r="A75" s="46" t="inlineStr">
        <is>
          <t>SN</t>
        </is>
      </c>
      <c r="B75" s="50" t="inlineStr">
        <is>
          <t>Sachsen</t>
        </is>
      </c>
      <c r="C75" s="50" t="inlineStr">
        <is>
          <t>Pfingsten</t>
        </is>
      </c>
      <c r="D75" s="51" t="n">
        <v>46522</v>
      </c>
      <c r="E75" s="51" t="n">
        <v>46525</v>
      </c>
      <c r="F75" s="52">
        <f>IF(AND(A75=LandCode,Jahr=2027),1,0)</f>
        <v/>
      </c>
    </row>
    <row r="76">
      <c r="A76" s="46" t="inlineStr">
        <is>
          <t>SN</t>
        </is>
      </c>
      <c r="B76" s="50" t="inlineStr">
        <is>
          <t>Sachsen</t>
        </is>
      </c>
      <c r="C76" s="50" t="inlineStr">
        <is>
          <t>Sommer</t>
        </is>
      </c>
      <c r="D76" s="51" t="n">
        <v>46578</v>
      </c>
      <c r="E76" s="51" t="n">
        <v>46621</v>
      </c>
      <c r="F76" s="52">
        <f>IF(AND(A76=LandCode,Jahr=2027),1,0)</f>
        <v/>
      </c>
    </row>
    <row r="77">
      <c r="A77" s="46" t="inlineStr">
        <is>
          <t>SN</t>
        </is>
      </c>
      <c r="B77" s="50" t="inlineStr">
        <is>
          <t>Sachsen</t>
        </is>
      </c>
      <c r="C77" s="50" t="inlineStr">
        <is>
          <t>Herbst</t>
        </is>
      </c>
      <c r="D77" s="51" t="n">
        <v>46670</v>
      </c>
      <c r="E77" s="51" t="n">
        <v>46684</v>
      </c>
      <c r="F77" s="52">
        <f>IF(AND(A77=LandCode,Jahr=2027),1,0)</f>
        <v/>
      </c>
    </row>
    <row r="78">
      <c r="A78" s="46" t="inlineStr">
        <is>
          <t>SN</t>
        </is>
      </c>
      <c r="B78" s="50" t="inlineStr">
        <is>
          <t>Sachsen</t>
        </is>
      </c>
      <c r="C78" s="50" t="inlineStr">
        <is>
          <t>Weihnachten</t>
        </is>
      </c>
      <c r="D78" s="51" t="n">
        <v>46744</v>
      </c>
      <c r="E78" s="51" t="n">
        <v>46754</v>
      </c>
      <c r="F78" s="52">
        <f>IF(AND(A78=LandCode,Jahr=2027),1,0)</f>
        <v/>
      </c>
    </row>
    <row r="79">
      <c r="A79" s="46" t="inlineStr">
        <is>
          <t>ST</t>
        </is>
      </c>
      <c r="B79" s="50" t="inlineStr">
        <is>
          <t>Sachsen-Anhalt</t>
        </is>
      </c>
      <c r="C79" s="50" t="inlineStr">
        <is>
          <t>Winter</t>
        </is>
      </c>
      <c r="D79" s="51" t="n">
        <v>46418</v>
      </c>
      <c r="E79" s="51" t="n">
        <v>46425</v>
      </c>
      <c r="F79" s="52">
        <f>IF(AND(A79=LandCode,Jahr=2027),1,0)</f>
        <v/>
      </c>
    </row>
    <row r="80">
      <c r="A80" s="46" t="inlineStr">
        <is>
          <t>ST</t>
        </is>
      </c>
      <c r="B80" s="50" t="inlineStr">
        <is>
          <t>Sachsen-Anhalt</t>
        </is>
      </c>
      <c r="C80" s="50" t="inlineStr">
        <is>
          <t>Ostern</t>
        </is>
      </c>
      <c r="D80" s="51" t="n">
        <v>46467</v>
      </c>
      <c r="E80" s="51" t="n">
        <v>46475</v>
      </c>
      <c r="F80" s="52">
        <f>IF(AND(A80=LandCode,Jahr=2027),1,0)</f>
        <v/>
      </c>
    </row>
    <row r="81">
      <c r="A81" s="46" t="inlineStr">
        <is>
          <t>ST</t>
        </is>
      </c>
      <c r="B81" s="50" t="inlineStr">
        <is>
          <t>Sachsen-Anhalt</t>
        </is>
      </c>
      <c r="C81" s="50" t="inlineStr">
        <is>
          <t>Pfingsten</t>
        </is>
      </c>
      <c r="D81" s="51" t="n">
        <v>46522</v>
      </c>
      <c r="E81" s="51" t="n">
        <v>46530</v>
      </c>
      <c r="F81" s="52">
        <f>IF(AND(A81=LandCode,Jahr=2027),1,0)</f>
        <v/>
      </c>
    </row>
    <row r="82">
      <c r="A82" s="46" t="inlineStr">
        <is>
          <t>ST</t>
        </is>
      </c>
      <c r="B82" s="50" t="inlineStr">
        <is>
          <t>Sachsen-Anhalt</t>
        </is>
      </c>
      <c r="C82" s="50" t="inlineStr">
        <is>
          <t>Sommer</t>
        </is>
      </c>
      <c r="D82" s="51" t="n">
        <v>46578</v>
      </c>
      <c r="E82" s="51" t="n">
        <v>46621</v>
      </c>
      <c r="F82" s="52">
        <f>IF(AND(A82=LandCode,Jahr=2027),1,0)</f>
        <v/>
      </c>
    </row>
    <row r="83">
      <c r="A83" s="46" t="inlineStr">
        <is>
          <t>ST</t>
        </is>
      </c>
      <c r="B83" s="50" t="inlineStr">
        <is>
          <t>Sachsen-Anhalt</t>
        </is>
      </c>
      <c r="C83" s="50" t="inlineStr">
        <is>
          <t>Herbst</t>
        </is>
      </c>
      <c r="D83" s="51" t="n">
        <v>46677</v>
      </c>
      <c r="E83" s="51" t="n">
        <v>46684</v>
      </c>
      <c r="F83" s="52">
        <f>IF(AND(A83=LandCode,Jahr=2027),1,0)</f>
        <v/>
      </c>
    </row>
    <row r="84">
      <c r="A84" s="46" t="inlineStr">
        <is>
          <t>ST</t>
        </is>
      </c>
      <c r="B84" s="50" t="inlineStr">
        <is>
          <t>Sachsen-Anhalt</t>
        </is>
      </c>
      <c r="C84" s="50" t="inlineStr">
        <is>
          <t>Weihnachten</t>
        </is>
      </c>
      <c r="D84" s="51" t="n">
        <v>46740</v>
      </c>
      <c r="E84" s="51" t="n">
        <v>46754</v>
      </c>
      <c r="F84" s="52">
        <f>IF(AND(A84=LandCode,Jahr=2027),1,0)</f>
        <v/>
      </c>
    </row>
    <row r="85">
      <c r="A85" s="46" t="inlineStr">
        <is>
          <t>SH</t>
        </is>
      </c>
      <c r="B85" s="50" t="inlineStr">
        <is>
          <t>Schleswig-Holstein</t>
        </is>
      </c>
      <c r="C85" s="50" t="inlineStr">
        <is>
          <t>Ostern</t>
        </is>
      </c>
      <c r="D85" s="51" t="n">
        <v>46474</v>
      </c>
      <c r="E85" s="51" t="n">
        <v>46488</v>
      </c>
      <c r="F85" s="52">
        <f>IF(AND(A85=LandCode,Jahr=2027),1,0)</f>
        <v/>
      </c>
    </row>
    <row r="86">
      <c r="A86" s="46" t="inlineStr">
        <is>
          <t>SH</t>
        </is>
      </c>
      <c r="B86" s="50" t="inlineStr">
        <is>
          <t>Schleswig-Holstein</t>
        </is>
      </c>
      <c r="C86" s="50" t="inlineStr">
        <is>
          <t>Himmelfahrt</t>
        </is>
      </c>
      <c r="D86" s="51" t="n">
        <v>46513</v>
      </c>
      <c r="E86" s="51" t="n">
        <v>46516</v>
      </c>
      <c r="F86" s="52">
        <f>IF(AND(A86=LandCode,Jahr=2027),1,0)</f>
        <v/>
      </c>
    </row>
    <row r="87">
      <c r="A87" s="46" t="inlineStr">
        <is>
          <t>SH</t>
        </is>
      </c>
      <c r="B87" s="50" t="inlineStr">
        <is>
          <t>Schleswig-Holstein</t>
        </is>
      </c>
      <c r="C87" s="50" t="inlineStr">
        <is>
          <t>Sommer</t>
        </is>
      </c>
      <c r="D87" s="51" t="n">
        <v>46571</v>
      </c>
      <c r="E87" s="51" t="n">
        <v>46614</v>
      </c>
      <c r="F87" s="52">
        <f>IF(AND(A87=LandCode,Jahr=2027),1,0)</f>
        <v/>
      </c>
    </row>
    <row r="88">
      <c r="A88" s="46" t="inlineStr">
        <is>
          <t>SH</t>
        </is>
      </c>
      <c r="B88" s="50" t="inlineStr">
        <is>
          <t>Schleswig-Holstein</t>
        </is>
      </c>
      <c r="C88" s="50" t="inlineStr">
        <is>
          <t>Herbst</t>
        </is>
      </c>
      <c r="D88" s="51" t="n">
        <v>46670</v>
      </c>
      <c r="E88" s="51" t="n">
        <v>46684</v>
      </c>
      <c r="F88" s="52">
        <f>IF(AND(A88=LandCode,Jahr=2027),1,0)</f>
        <v/>
      </c>
    </row>
    <row r="89">
      <c r="A89" s="46" t="inlineStr">
        <is>
          <t>SH</t>
        </is>
      </c>
      <c r="B89" s="50" t="inlineStr">
        <is>
          <t>Schleswig-Holstein</t>
        </is>
      </c>
      <c r="C89" s="50" t="inlineStr">
        <is>
          <t>Weihnachten</t>
        </is>
      </c>
      <c r="D89" s="51" t="n">
        <v>46744</v>
      </c>
      <c r="E89" s="51" t="n">
        <v>46761</v>
      </c>
      <c r="F89" s="52">
        <f>IF(AND(A89=LandCode,Jahr=2027),1,0)</f>
        <v/>
      </c>
    </row>
    <row r="90">
      <c r="A90" s="46" t="inlineStr">
        <is>
          <t>TH</t>
        </is>
      </c>
      <c r="B90" s="50" t="inlineStr">
        <is>
          <t>Thüringen</t>
        </is>
      </c>
      <c r="C90" s="50" t="inlineStr">
        <is>
          <t>Winter</t>
        </is>
      </c>
      <c r="D90" s="51" t="n">
        <v>46418</v>
      </c>
      <c r="E90" s="51" t="n">
        <v>46425</v>
      </c>
      <c r="F90" s="52">
        <f>IF(AND(A90=LandCode,Jahr=2027),1,0)</f>
        <v/>
      </c>
    </row>
    <row r="91">
      <c r="A91" s="46" t="inlineStr">
        <is>
          <t>TH</t>
        </is>
      </c>
      <c r="B91" s="50" t="inlineStr">
        <is>
          <t>Thüringen</t>
        </is>
      </c>
      <c r="C91" s="50" t="inlineStr">
        <is>
          <t>Ostern</t>
        </is>
      </c>
      <c r="D91" s="51" t="n">
        <v>46467</v>
      </c>
      <c r="E91" s="51" t="n">
        <v>46481</v>
      </c>
      <c r="F91" s="52">
        <f>IF(AND(A91=LandCode,Jahr=2027),1,0)</f>
        <v/>
      </c>
    </row>
    <row r="92">
      <c r="A92" s="46" t="inlineStr">
        <is>
          <t>TH</t>
        </is>
      </c>
      <c r="B92" s="50" t="inlineStr">
        <is>
          <t>Thüringen</t>
        </is>
      </c>
      <c r="C92" s="50" t="inlineStr">
        <is>
          <t>Himmelfahrt</t>
        </is>
      </c>
      <c r="D92" s="51" t="n">
        <v>46513</v>
      </c>
      <c r="E92" s="51" t="n">
        <v>46516</v>
      </c>
      <c r="F92" s="52">
        <f>IF(AND(A92=LandCode,Jahr=2027),1,0)</f>
        <v/>
      </c>
    </row>
    <row r="93">
      <c r="A93" s="46" t="inlineStr">
        <is>
          <t>TH</t>
        </is>
      </c>
      <c r="B93" s="50" t="inlineStr">
        <is>
          <t>Thüringen</t>
        </is>
      </c>
      <c r="C93" s="50" t="inlineStr">
        <is>
          <t>Sommer</t>
        </is>
      </c>
      <c r="D93" s="51" t="n">
        <v>46578</v>
      </c>
      <c r="E93" s="51" t="n">
        <v>46621</v>
      </c>
      <c r="F93" s="52">
        <f>IF(AND(A93=LandCode,Jahr=2027),1,0)</f>
        <v/>
      </c>
    </row>
    <row r="94">
      <c r="A94" s="46" t="inlineStr">
        <is>
          <t>TH</t>
        </is>
      </c>
      <c r="B94" s="50" t="inlineStr">
        <is>
          <t>Thüringen</t>
        </is>
      </c>
      <c r="C94" s="50" t="inlineStr">
        <is>
          <t>Herbst</t>
        </is>
      </c>
      <c r="D94" s="51" t="n">
        <v>46669</v>
      </c>
      <c r="E94" s="51" t="n">
        <v>46684</v>
      </c>
      <c r="F94" s="52">
        <f>IF(AND(A94=LandCode,Jahr=2027),1,0)</f>
        <v/>
      </c>
    </row>
    <row r="95">
      <c r="A95" s="46" t="inlineStr">
        <is>
          <t>TH</t>
        </is>
      </c>
      <c r="B95" s="50" t="inlineStr">
        <is>
          <t>Thüringen</t>
        </is>
      </c>
      <c r="C95" s="50" t="inlineStr">
        <is>
          <t>Weihnachten</t>
        </is>
      </c>
      <c r="D95" s="51" t="n">
        <v>46744</v>
      </c>
      <c r="E95" s="51" t="n">
        <v>46754</v>
      </c>
      <c r="F95" s="52">
        <f>IF(AND(A95=LandCode,Jahr=2027),1,0)</f>
        <v/>
      </c>
    </row>
  </sheetData>
  <pageMargins left="0.4" right="0.4" top="0.5" bottom="0.5" header="0.5" footer="0.5"/>
  <pageSetup orientation="portrait" paperSize="9" fitToHeight="1" fitToWidth="1"/>
  <headerFooter>
    <oddHeader/>
    <oddFooter>&amp;Rstundenplan-ersteller.de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stundenplan-ersteller.de</dc:creator>
  <dc:title xmlns:dc="http://purl.org/dc/elements/1.1/">Kalender 2027 Excel</dc:title>
  <dcterms:created xmlns:dcterms="http://purl.org/dc/terms/" xmlns:xsi="http://www.w3.org/2001/XMLSchema-instance" xsi:type="dcterms:W3CDTF">2026-10-26T03:08:49Z</dcterms:created>
  <dcterms:modified xmlns:dcterms="http://purl.org/dc/terms/" xmlns:xsi="http://www.w3.org/2001/XMLSchema-instance" xsi:type="dcterms:W3CDTF">2026-10-26T03:08:50Z</dcterms:modified>
</cp:coreProperties>
</file>